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4.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5.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6.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7.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8.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9.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0.xml" ContentType="application/vnd.openxmlformats-officedocument.themeOverrid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1.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2.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3.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4.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5.xml" ContentType="application/vnd.openxmlformats-officedocument.themeOverrid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16.xml" ContentType="application/vnd.openxmlformats-officedocument.themeOverrid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17.xml" ContentType="application/vnd.openxmlformats-officedocument.themeOverrid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18.xml" ContentType="application/vnd.openxmlformats-officedocument.themeOverrid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19.xml" ContentType="application/vnd.openxmlformats-officedocument.themeOverrid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0.xml" ContentType="application/vnd.openxmlformats-officedocument.themeOverrid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21.xml" ContentType="application/vnd.openxmlformats-officedocument.themeOverrid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22.xml" ContentType="application/vnd.openxmlformats-officedocument.themeOverrid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3.xml" ContentType="application/vnd.openxmlformats-officedocument.themeOverrid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9.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24.xml" ContentType="application/vnd.openxmlformats-officedocument.themeOverrid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25.xml" ContentType="application/vnd.openxmlformats-officedocument.themeOverrid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26.xml" ContentType="application/vnd.openxmlformats-officedocument.themeOverrid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27.xml" ContentType="application/vnd.openxmlformats-officedocument.themeOverrid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28.xml" ContentType="application/vnd.openxmlformats-officedocument.themeOverrid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29.xml" ContentType="application/vnd.openxmlformats-officedocument.themeOverrid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30.xml" ContentType="application/vnd.openxmlformats-officedocument.themeOverrid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31.xml" ContentType="application/vnd.openxmlformats-officedocument.themeOverrid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0.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32.xml" ContentType="application/vnd.openxmlformats-officedocument.themeOverrid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33.xml" ContentType="application/vnd.openxmlformats-officedocument.themeOverrid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11.xml" ContentType="application/vnd.openxmlformats-officedocument.drawingml.chartshapes+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theme/themeOverride34.xml" ContentType="application/vnd.openxmlformats-officedocument.themeOverrid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theme/themeOverride35.xml" ContentType="application/vnd.openxmlformats-officedocument.themeOverrid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theme/themeOverride36.xml" ContentType="application/vnd.openxmlformats-officedocument.themeOverrid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theme/themeOverride37.xml" ContentType="application/vnd.openxmlformats-officedocument.themeOverrid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theme/themeOverride38.xml" ContentType="application/vnd.openxmlformats-officedocument.themeOverrid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theme/themeOverride39.xml" ContentType="application/vnd.openxmlformats-officedocument.themeOverrid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theme/themeOverride40.xml" ContentType="application/vnd.openxmlformats-officedocument.themeOverrid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theme/themeOverride41.xml" ContentType="application/vnd.openxmlformats-officedocument.themeOverrid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theme/themeOverride42.xml" ContentType="application/vnd.openxmlformats-officedocument.themeOverrid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theme/themeOverride43.xml" ContentType="application/vnd.openxmlformats-officedocument.themeOverrid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theme/themeOverride44.xml" ContentType="application/vnd.openxmlformats-officedocument.themeOverrid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theme/themeOverride45.xml" ContentType="application/vnd.openxmlformats-officedocument.themeOverrid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theme/themeOverride46.xml" ContentType="application/vnd.openxmlformats-officedocument.themeOverrid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theme/themeOverride47.xml" ContentType="application/vnd.openxmlformats-officedocument.themeOverrid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12.xml" ContentType="application/vnd.openxmlformats-officedocument.drawingml.chartshapes+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13.xml" ContentType="application/vnd.openxmlformats-officedocument.drawingml.chartshapes+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theme/themeOverride48.xml" ContentType="application/vnd.openxmlformats-officedocument.themeOverride+xml"/>
  <Override PartName="/xl/drawings/drawing1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15.xml" ContentType="application/vnd.openxmlformats-officedocument.drawingml.chartshapes+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theme/themeOverride49.xml" ContentType="application/vnd.openxmlformats-officedocument.themeOverrid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16.xml" ContentType="application/vnd.openxmlformats-officedocument.drawingml.chartshapes+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theme/themeOverride50.xml" ContentType="application/vnd.openxmlformats-officedocument.themeOverrid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theme/themeOverride51.xml" ContentType="application/vnd.openxmlformats-officedocument.themeOverrid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theme/themeOverride52.xml" ContentType="application/vnd.openxmlformats-officedocument.themeOverrid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theme/themeOverride53.xml" ContentType="application/vnd.openxmlformats-officedocument.themeOverrid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theme/themeOverride54.xml" ContentType="application/vnd.openxmlformats-officedocument.themeOverrid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theme/themeOverride55.xml" ContentType="application/vnd.openxmlformats-officedocument.themeOverrid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theme/themeOverride56.xml" ContentType="application/vnd.openxmlformats-officedocument.themeOverrid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theme/themeOverride57.xml" ContentType="application/vnd.openxmlformats-officedocument.themeOverrid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theme/themeOverride58.xml" ContentType="application/vnd.openxmlformats-officedocument.themeOverrid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theme/themeOverride59.xml" ContentType="application/vnd.openxmlformats-officedocument.themeOverrid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theme/themeOverride60.xml" ContentType="application/vnd.openxmlformats-officedocument.themeOverrid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theme/themeOverride61.xml" ContentType="application/vnd.openxmlformats-officedocument.themeOverrid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theme/themeOverride62.xml" ContentType="application/vnd.openxmlformats-officedocument.themeOverrid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7.xml" ContentType="application/vnd.openxmlformats-officedocument.drawingml.chartshapes+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theme/themeOverride63.xml" ContentType="application/vnd.openxmlformats-officedocument.themeOverrid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theme/themeOverride64.xml" ContentType="application/vnd.openxmlformats-officedocument.themeOverrid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theme/themeOverride65.xml" ContentType="application/vnd.openxmlformats-officedocument.themeOverrid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theme/themeOverride66.xml" ContentType="application/vnd.openxmlformats-officedocument.themeOverrid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theme/themeOverride67.xml" ContentType="application/vnd.openxmlformats-officedocument.themeOverrid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theme/themeOverride68.xml" ContentType="application/vnd.openxmlformats-officedocument.themeOverrid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drawings/drawing18.xml" ContentType="application/vnd.openxmlformats-officedocument.drawingml.chartshapes+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drawings/drawing19.xml" ContentType="application/vnd.openxmlformats-officedocument.drawingml.chartshapes+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theme/themeOverride69.xml" ContentType="application/vnd.openxmlformats-officedocument.themeOverrid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theme/themeOverride70.xml" ContentType="application/vnd.openxmlformats-officedocument.themeOverrid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theme/themeOverride71.xml" ContentType="application/vnd.openxmlformats-officedocument.themeOverrid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theme/themeOverride72.xml" ContentType="application/vnd.openxmlformats-officedocument.themeOverrid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theme/themeOverride73.xml" ContentType="application/vnd.openxmlformats-officedocument.themeOverrid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codeName="{DC747B9D-DBBB-FA85-71B4-595EBAB97821}"/>
  <workbookPr codeName="DieseArbeitsmappe"/>
  <mc:AlternateContent xmlns:mc="http://schemas.openxmlformats.org/markup-compatibility/2006">
    <mc:Choice Requires="x15">
      <x15ac:absPath xmlns:x15ac="http://schemas.microsoft.com/office/spreadsheetml/2010/11/ac" url="C:\Users\stephanie.wigger\NNBS Dropbox\Stephanie Wigger\NNBS Marketing\SNBS-Hochbau_Version 2023.1\Pre-Check_Pre-Klima-Check\"/>
    </mc:Choice>
  </mc:AlternateContent>
  <xr:revisionPtr revIDLastSave="0" documentId="13_ncr:1_{07054975-D96F-4A06-A22E-45ED2241ADDF}" xr6:coauthVersionLast="47" xr6:coauthVersionMax="47" xr10:uidLastSave="{00000000-0000-0000-0000-000000000000}"/>
  <bookViews>
    <workbookView xWindow="-90" yWindow="0" windowWidth="19380" windowHeight="20970" tabRatio="658" xr2:uid="{8679A8CF-8612-4944-9555-D0A5D32A1D09}"/>
  </bookViews>
  <sheets>
    <sheet name="Tool" sheetId="8" r:id="rId1"/>
    <sheet name="Intro" sheetId="1" state="hidden" r:id="rId2"/>
    <sheet name="Check" sheetId="3" state="hidden" r:id="rId3"/>
    <sheet name="Results" sheetId="4" state="hidden" r:id="rId4"/>
    <sheet name="Info" sheetId="9" state="hidden" r:id="rId5"/>
    <sheet name="Text" sheetId="10" state="veryHidden" r:id="rId6"/>
  </sheets>
  <definedNames>
    <definedName name="_01A_Ja_Nein_Weiss_nicht">Text!$AQ$4:$AQ$6</definedName>
    <definedName name="_01Abis_Ja_Nein_Teilweise_Weiss_nicht">Text!$AU$4:$AU$7</definedName>
    <definedName name="_01B_Ja_Nur_in_einem_Bereich_Nein_Weiss_nicht">Text!$AR$4:$AR$7</definedName>
    <definedName name="_01C_Ja_Noch_keine_Berechnung_Richtwert_überboten_Weiss_nicht">Text!$AS$4:$AS$7</definedName>
    <definedName name="_01C_Ja_Nur_in_Aussenraum">Text!$AT$4:$AT$8</definedName>
    <definedName name="_02_A_Schultyp">Text!$AH$4:$AH$5</definedName>
    <definedName name="_02_Wohnen_Verwaltung_EG_nutzung_Schule_Anderes">Text!$AG$4:$AG$8</definedName>
    <definedName name="_03_Neubau_Ersatzbau_Erneuerung_Bestand">Text!$AF$4:$AF$7</definedName>
    <definedName name="_04_ÖV_Güteklasse">Text!$AK$4:$AK$8</definedName>
    <definedName name="_05_Stadt_Agglo_Land">Text!$AJ$4:$AJ$6</definedName>
    <definedName name="_06_Vermietung_Verkau_fEigennutzung_Öffentliche_Hand_anderes">Text!$AL$4:$AL$8</definedName>
    <definedName name="_07A_Hoch_Mittel_Tief">Text!$AM$4:$AM$6</definedName>
    <definedName name="_07B_Hoch__Mittel_Tief_Weiss_nicht">Text!$AP$4:$AP$7</definedName>
    <definedName name="_08A_Distanz_A">Text!$AN$4:$AN$6</definedName>
    <definedName name="_08B_Distanz_B">Text!$AO$4:$AO$6</definedName>
    <definedName name="_09_Deutlich_darüber_Leicht_darüber_Etwa_gleich_Leicht_darunter_Deutlich_darunter_Weiss_nicht">Text!$AT$4:$AT$9</definedName>
    <definedName name="_10_unter_19_über_70">Text!$AV$4:$AV$8</definedName>
    <definedName name="_11_Ja_30_besser_Minergie">Text!$AW$4:$AW$7</definedName>
    <definedName name="_12_Ja_Eigenstromproduktion">Text!$AX$4:$AX$7</definedName>
    <definedName name="_20406080100">Text!$AU$4:$AU$9</definedName>
    <definedName name="_99_Druckbereich" localSheetId="3">Results!$A$8:$XFB$101,Results!$A$102:$PV$107</definedName>
    <definedName name="_xlnm._FilterDatabase" localSheetId="2" hidden="1">Check!$6:$53</definedName>
    <definedName name="_Gewinnen">Text!$AW$4:$AW$9</definedName>
    <definedName name="_Liste_11Indikatoren">Text!$AH$40</definedName>
    <definedName name="_Notwendig">Text!$AX$4:$AX$9</definedName>
    <definedName name="_Regionalökonomie">Text!$AV$4:$AV$9</definedName>
    <definedName name="_Schulstufe">Text!$AH$4:$AH$8</definedName>
    <definedName name="ad">Text!$I$442</definedName>
    <definedName name="ADAMITI">"Grafik 2"</definedName>
    <definedName name="_xlnm.Print_Area" localSheetId="2">Check!$56:$909</definedName>
    <definedName name="_xlnm.Print_Area" localSheetId="1">Intro!$B$107:$W$151</definedName>
    <definedName name="_xlnm.Print_Area" localSheetId="3">Results!$A$6:$AH$180</definedName>
    <definedName name="e">Text!$BD$310</definedName>
    <definedName name="EinstiegfrageS">Check!$S$67</definedName>
    <definedName name="Für_eine_vollständige_Liste_hier_klicken">Check!$W$116</definedName>
    <definedName name="JANEIN">Text!$AQ$4:$AQ$5</definedName>
    <definedName name="k">Text!$M$339</definedName>
    <definedName name="logoes">Results!$AG$218</definedName>
    <definedName name="LogoESDe_Pre">Results!$R$228</definedName>
    <definedName name="Z_9A24DFA8_2F1F_40ED_973B_20A00514A0EB_.wvu.Cols" localSheetId="2" hidden="1">Check!$Z:$XFC</definedName>
    <definedName name="Z_9A24DFA8_2F1F_40ED_973B_20A00514A0EB_.wvu.Cols" localSheetId="4" hidden="1">Info!$AA:$XFD</definedName>
    <definedName name="Z_9A24DFA8_2F1F_40ED_973B_20A00514A0EB_.wvu.Cols" localSheetId="1" hidden="1">Intro!$Z:$XFC</definedName>
    <definedName name="Z_9A24DFA8_2F1F_40ED_973B_20A00514A0EB_.wvu.Cols" localSheetId="3" hidden="1">Results!$AI:$XFD</definedName>
    <definedName name="Z_9A24DFA8_2F1F_40ED_973B_20A00514A0EB_.wvu.Cols" localSheetId="0" hidden="1">Tool!$Z:$XFC</definedName>
    <definedName name="Z_9A24DFA8_2F1F_40ED_973B_20A00514A0EB_.wvu.FilterData" localSheetId="2" hidden="1">Check!$5:$950</definedName>
    <definedName name="Z_9A24DFA8_2F1F_40ED_973B_20A00514A0EB_.wvu.Rows" localSheetId="2" hidden="1">Check!$1936:$1048576,Check!$118:$120,Check!$144:$151,Check!$168:$179,Check!$195:$203,Check!$308:$322,Check!$344:$349,Check!$357:$365,Check!$441:$449,Check!$453:$455,Check!$543:$548,Check!$555:$566,Check!$580:$588,Check!$592:$594,Check!$616:$624,Check!#REF!,Check!#REF!,Check!$654:$659,Check!$666:$683,Check!$699:$704,Check!$714:$731,Check!#REF!,Check!#REF!,Check!#REF!,Check!$745:$747,Check!$796:$801,Check!$911:$1929</definedName>
    <definedName name="Z_9A24DFA8_2F1F_40ED_973B_20A00514A0EB_.wvu.Rows" localSheetId="4" hidden="1">Info!$302:$1048576,Info!$174:$301</definedName>
    <definedName name="Z_9A24DFA8_2F1F_40ED_973B_20A00514A0EB_.wvu.Rows" localSheetId="1" hidden="1">Intro!$397:$1048576,Intro!$25:$232,Intro!$240:$379</definedName>
    <definedName name="Z_9A24DFA8_2F1F_40ED_973B_20A00514A0EB_.wvu.Rows" localSheetId="3" hidden="1">Results!$147:$1048576,Results!$110:$145</definedName>
    <definedName name="Z_9A24DFA8_2F1F_40ED_973B_20A00514A0EB_.wvu.Rows" localSheetId="0" hidden="1">Tool!$26:$1048576,Tool!#REF!,Tool!#REF!</definedName>
  </definedNames>
  <calcPr calcId="191029"/>
  <customWorkbookViews>
    <customWorkbookView name="Ansicht" guid="{9A24DFA8-2F1F-40ED-973B-20A00514A0EB}" includePrintSettings="0" maximized="1" xWindow="-1928" yWindow="-73" windowWidth="1936" windowHeight="1096" activeSheetId="4" showFormulaBar="0"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 i="8" l="1"/>
  <c r="AG494" i="4" l="1"/>
  <c r="AG490" i="4"/>
  <c r="B490" i="4"/>
  <c r="AG148" i="4" l="1"/>
  <c r="AG144" i="4"/>
  <c r="BA35" i="10"/>
  <c r="AL41" i="10"/>
  <c r="BA29" i="10" s="1"/>
  <c r="V91" i="1"/>
  <c r="G381" i="10"/>
  <c r="G380" i="10"/>
  <c r="G346" i="10"/>
  <c r="G332" i="10"/>
  <c r="L20" i="8" l="1"/>
  <c r="AJ285" i="10" l="1"/>
  <c r="AK285" i="10" s="1"/>
  <c r="AJ284" i="10"/>
  <c r="AJ283" i="10"/>
  <c r="AJ282" i="10"/>
  <c r="C274" i="10"/>
  <c r="D839" i="3" s="1"/>
  <c r="C670" i="10" l="1"/>
  <c r="D156" i="9" s="1"/>
  <c r="C671" i="10"/>
  <c r="D158" i="9" s="1"/>
  <c r="C669" i="10"/>
  <c r="Y667" i="3" s="1"/>
  <c r="M357" i="4"/>
  <c r="M185" i="4"/>
  <c r="AR48" i="10"/>
  <c r="AR47" i="10"/>
  <c r="AR46" i="10"/>
  <c r="E346" i="10" l="1"/>
  <c r="E379" i="10"/>
  <c r="E380" i="10"/>
  <c r="E381" i="10"/>
  <c r="E382" i="10"/>
  <c r="I578" i="10"/>
  <c r="I346" i="10"/>
  <c r="R275" i="10"/>
  <c r="R241" i="10"/>
  <c r="Y241" i="10"/>
  <c r="Y186" i="10"/>
  <c r="R186" i="10"/>
  <c r="I332" i="10" l="1"/>
  <c r="AN49" i="10" l="1"/>
  <c r="AU49" i="10"/>
  <c r="AN24" i="10"/>
  <c r="AU24" i="10"/>
  <c r="R119" i="10" l="1"/>
  <c r="I116" i="10"/>
  <c r="G116" i="10"/>
  <c r="AR5" i="10" l="1"/>
  <c r="AN40" i="10"/>
  <c r="AU39" i="10"/>
  <c r="AN32" i="10"/>
  <c r="AN38" i="10"/>
  <c r="AU38" i="10"/>
  <c r="AU32" i="10"/>
  <c r="AN28" i="10"/>
  <c r="AU28" i="10"/>
  <c r="AN29" i="10"/>
  <c r="AU29" i="10"/>
  <c r="I422" i="10" s="1"/>
  <c r="AN26" i="10"/>
  <c r="AN25" i="10"/>
  <c r="AN30" i="10"/>
  <c r="AU25" i="10"/>
  <c r="AY6" i="10"/>
  <c r="AY5" i="10"/>
  <c r="AX4" i="10"/>
  <c r="AW5" i="10"/>
  <c r="AW4" i="10"/>
  <c r="AS6" i="10"/>
  <c r="AS5" i="10"/>
  <c r="AN5" i="10"/>
  <c r="AK4" i="10"/>
  <c r="AI7" i="10"/>
  <c r="AG4" i="10"/>
  <c r="AF7" i="10"/>
  <c r="AF5" i="10"/>
  <c r="AC355" i="10"/>
  <c r="AE366" i="10"/>
  <c r="AC352" i="10"/>
  <c r="AC351" i="10"/>
  <c r="AC350" i="10"/>
  <c r="AE369" i="10"/>
  <c r="AE368" i="10"/>
  <c r="AE367" i="10"/>
  <c r="AE361" i="10"/>
  <c r="AE363" i="10" s="1"/>
  <c r="AC349" i="10"/>
  <c r="AC358" i="10" s="1"/>
  <c r="V317" i="1"/>
  <c r="V2" i="1"/>
  <c r="AE364" i="10" l="1"/>
  <c r="AE365" i="10"/>
  <c r="AC353" i="10"/>
  <c r="AC356" i="10"/>
  <c r="AE362" i="10"/>
  <c r="AC357" i="10"/>
  <c r="I382" i="10"/>
  <c r="I380" i="10"/>
  <c r="I381" i="10"/>
  <c r="L11" i="8" l="1"/>
  <c r="M11" i="4"/>
  <c r="C299" i="10"/>
  <c r="C300" i="10"/>
  <c r="B459" i="4" s="1"/>
  <c r="V652" i="3" l="1"/>
  <c r="C325" i="10"/>
  <c r="H386" i="1" s="1"/>
  <c r="V321" i="1" l="1"/>
  <c r="P312" i="1"/>
  <c r="I323" i="1" s="1"/>
  <c r="M312" i="1"/>
  <c r="AO26" i="10"/>
  <c r="G278" i="1" s="1"/>
  <c r="O266" i="1"/>
  <c r="R266" i="1"/>
  <c r="R264" i="1"/>
  <c r="R262" i="1"/>
  <c r="R260" i="1"/>
  <c r="R258" i="1"/>
  <c r="R256" i="1"/>
  <c r="O268" i="1"/>
  <c r="O264" i="1"/>
  <c r="O262" i="1"/>
  <c r="O260" i="1"/>
  <c r="O258" i="1"/>
  <c r="O256" i="1"/>
  <c r="I262" i="1"/>
  <c r="I260" i="1"/>
  <c r="I258" i="1"/>
  <c r="I256" i="1"/>
  <c r="F262" i="1"/>
  <c r="F260" i="1"/>
  <c r="F258" i="1"/>
  <c r="F256" i="1"/>
  <c r="I299" i="1"/>
  <c r="L298" i="1"/>
  <c r="I298" i="1"/>
  <c r="F298" i="1"/>
  <c r="C298" i="1"/>
  <c r="O297" i="1"/>
  <c r="U296" i="1"/>
  <c r="R296" i="1"/>
  <c r="O296" i="1"/>
  <c r="L296" i="1"/>
  <c r="I296" i="1"/>
  <c r="F296" i="1"/>
  <c r="C296" i="1"/>
  <c r="I295" i="1"/>
  <c r="I294" i="1"/>
  <c r="F294" i="1"/>
  <c r="C294" i="1"/>
  <c r="I293" i="1"/>
  <c r="L292" i="1"/>
  <c r="I292" i="1"/>
  <c r="F292" i="1"/>
  <c r="C292" i="1"/>
  <c r="F289" i="1"/>
  <c r="C289" i="1"/>
  <c r="L288" i="1"/>
  <c r="F288" i="1"/>
  <c r="L287" i="1"/>
  <c r="I287" i="1"/>
  <c r="F287" i="1"/>
  <c r="C287" i="1"/>
  <c r="F286" i="1"/>
  <c r="L285" i="1"/>
  <c r="I285" i="1"/>
  <c r="F285" i="1"/>
  <c r="C285" i="1"/>
  <c r="U283" i="1"/>
  <c r="O283" i="1"/>
  <c r="X282" i="1"/>
  <c r="U282" i="1"/>
  <c r="R282" i="1"/>
  <c r="O282" i="1"/>
  <c r="L282" i="1"/>
  <c r="I282" i="1"/>
  <c r="F282" i="1"/>
  <c r="C282" i="1"/>
  <c r="F281" i="1"/>
  <c r="I280" i="1"/>
  <c r="F280" i="1"/>
  <c r="C280" i="1"/>
  <c r="I279" i="1"/>
  <c r="F279" i="1"/>
  <c r="I278" i="1"/>
  <c r="F278" i="1"/>
  <c r="C278" i="1"/>
  <c r="L277" i="1"/>
  <c r="I277" i="1"/>
  <c r="L276" i="1"/>
  <c r="I276" i="1"/>
  <c r="F276" i="1"/>
  <c r="L275" i="1"/>
  <c r="I275" i="1"/>
  <c r="F275" i="1"/>
  <c r="C275" i="1"/>
  <c r="T318" i="10"/>
  <c r="T331" i="10"/>
  <c r="S331" i="10"/>
  <c r="AF246" i="10"/>
  <c r="J314" i="1" l="1"/>
  <c r="I324" i="1"/>
  <c r="V324" i="1"/>
  <c r="P260" i="1"/>
  <c r="F232" i="1" l="1"/>
  <c r="F230" i="1"/>
  <c r="F228" i="1"/>
  <c r="F226" i="1"/>
  <c r="E20" i="9"/>
  <c r="E18" i="9"/>
  <c r="E16" i="9"/>
  <c r="E14" i="9"/>
  <c r="G523" i="4" l="1"/>
  <c r="Z522" i="4"/>
  <c r="G522" i="4"/>
  <c r="G521" i="4"/>
  <c r="AG520" i="4"/>
  <c r="B520" i="4"/>
  <c r="G519" i="4"/>
  <c r="G518" i="4"/>
  <c r="Z517" i="4"/>
  <c r="G517" i="4"/>
  <c r="G516" i="4"/>
  <c r="G515" i="4"/>
  <c r="G514" i="4"/>
  <c r="AG513" i="4"/>
  <c r="B513" i="4"/>
  <c r="Z511" i="4"/>
  <c r="G511" i="4"/>
  <c r="AG510" i="4"/>
  <c r="G510" i="4"/>
  <c r="B510" i="4"/>
  <c r="G508" i="4"/>
  <c r="Z507" i="4"/>
  <c r="G507" i="4"/>
  <c r="G506" i="4"/>
  <c r="AG505" i="4"/>
  <c r="B505" i="4"/>
  <c r="G499" i="4"/>
  <c r="B498" i="4"/>
  <c r="Z497" i="4"/>
  <c r="G497" i="4"/>
  <c r="G496" i="4"/>
  <c r="Z495" i="4"/>
  <c r="G495" i="4"/>
  <c r="B495" i="4"/>
  <c r="G493" i="4"/>
  <c r="G492" i="4"/>
  <c r="Z491" i="4"/>
  <c r="G491" i="4"/>
  <c r="G485" i="4"/>
  <c r="Z484" i="4"/>
  <c r="G484" i="4"/>
  <c r="G483" i="4"/>
  <c r="Z482" i="4"/>
  <c r="G482" i="4"/>
  <c r="G481" i="4"/>
  <c r="G480" i="4"/>
  <c r="G479" i="4"/>
  <c r="AG478" i="4"/>
  <c r="B478" i="4"/>
  <c r="G476" i="4"/>
  <c r="Z475" i="4"/>
  <c r="G475" i="4"/>
  <c r="AG474" i="4"/>
  <c r="B474" i="4"/>
  <c r="Z472" i="4"/>
  <c r="G472" i="4"/>
  <c r="Z471" i="4"/>
  <c r="G471" i="4"/>
  <c r="AG470" i="4"/>
  <c r="B470" i="4"/>
  <c r="Z469" i="4"/>
  <c r="Z468" i="4"/>
  <c r="G468" i="4"/>
  <c r="Z467" i="4"/>
  <c r="Z466" i="4"/>
  <c r="G466" i="4"/>
  <c r="Z465" i="4"/>
  <c r="G465" i="4"/>
  <c r="AG464" i="4"/>
  <c r="B464" i="4"/>
  <c r="V2" i="4"/>
  <c r="B346" i="4"/>
  <c r="B339" i="4"/>
  <c r="B336" i="4"/>
  <c r="B331" i="4"/>
  <c r="B324" i="4"/>
  <c r="B321" i="4"/>
  <c r="B316" i="4"/>
  <c r="B304" i="4"/>
  <c r="B300" i="4"/>
  <c r="B296" i="4"/>
  <c r="B292" i="4"/>
  <c r="AG174" i="4"/>
  <c r="B174" i="4"/>
  <c r="AG167" i="4"/>
  <c r="B167" i="4"/>
  <c r="AG164" i="4"/>
  <c r="B164" i="4"/>
  <c r="AG159" i="4"/>
  <c r="B159" i="4"/>
  <c r="B152" i="4"/>
  <c r="B149" i="4"/>
  <c r="B144" i="4"/>
  <c r="AG132" i="4"/>
  <c r="B132" i="4"/>
  <c r="AG128" i="4"/>
  <c r="B128" i="4"/>
  <c r="AG124" i="4"/>
  <c r="B124" i="4"/>
  <c r="AG118" i="4"/>
  <c r="B118" i="4"/>
  <c r="AT22" i="10"/>
  <c r="G349" i="4"/>
  <c r="G348" i="4"/>
  <c r="G347" i="4"/>
  <c r="G345" i="4"/>
  <c r="G344" i="4"/>
  <c r="G343" i="4"/>
  <c r="G342" i="4"/>
  <c r="G341" i="4"/>
  <c r="G340" i="4"/>
  <c r="G337" i="4"/>
  <c r="G336" i="4"/>
  <c r="G334" i="4"/>
  <c r="G333" i="4"/>
  <c r="G332" i="4"/>
  <c r="G325" i="4"/>
  <c r="G323" i="4"/>
  <c r="G322" i="4"/>
  <c r="G321" i="4"/>
  <c r="G319" i="4"/>
  <c r="G318" i="4"/>
  <c r="G317" i="4"/>
  <c r="G311" i="4"/>
  <c r="G310" i="4"/>
  <c r="G309" i="4"/>
  <c r="G308" i="4"/>
  <c r="G307" i="4"/>
  <c r="G306" i="4"/>
  <c r="G305" i="4"/>
  <c r="G302" i="4"/>
  <c r="G301" i="4"/>
  <c r="G298" i="4"/>
  <c r="G297" i="4"/>
  <c r="G295" i="4"/>
  <c r="G294" i="4"/>
  <c r="G293" i="4"/>
  <c r="AM141" i="10"/>
  <c r="AM140" i="10"/>
  <c r="AM139" i="10"/>
  <c r="AM138" i="10"/>
  <c r="AJ141" i="10"/>
  <c r="AJ140" i="10"/>
  <c r="AJ139" i="10"/>
  <c r="AJ138" i="10"/>
  <c r="AL5" i="10"/>
  <c r="C298" i="10"/>
  <c r="F59" i="3" s="1"/>
  <c r="L22" i="8"/>
  <c r="AA187" i="1"/>
  <c r="B195" i="1"/>
  <c r="B191" i="1"/>
  <c r="F196" i="1"/>
  <c r="F195" i="1"/>
  <c r="F193" i="1"/>
  <c r="F192" i="1"/>
  <c r="F191" i="1"/>
  <c r="C366" i="10"/>
  <c r="V146" i="1"/>
  <c r="V143" i="1"/>
  <c r="V139" i="1"/>
  <c r="V135" i="1"/>
  <c r="V131" i="1"/>
  <c r="V102" i="1"/>
  <c r="M89" i="1"/>
  <c r="I89" i="1"/>
  <c r="F89" i="1"/>
  <c r="AN22" i="10"/>
  <c r="J88" i="1" s="1"/>
  <c r="AL22" i="10"/>
  <c r="D28" i="1" s="1"/>
  <c r="AN139" i="10" l="1"/>
  <c r="AN138" i="10"/>
  <c r="G28" i="1"/>
  <c r="F88" i="1"/>
  <c r="I76" i="1"/>
  <c r="F76" i="1"/>
  <c r="J75" i="1"/>
  <c r="AN141" i="10" l="1"/>
  <c r="AN140" i="10"/>
  <c r="AP51" i="10"/>
  <c r="AP57" i="10"/>
  <c r="AP49" i="10"/>
  <c r="AP46" i="10"/>
  <c r="AP44" i="10"/>
  <c r="AP41" i="10"/>
  <c r="AP38" i="10"/>
  <c r="AP30" i="10"/>
  <c r="AP28" i="10"/>
  <c r="AP26" i="10"/>
  <c r="AP23" i="10"/>
  <c r="AN47" i="10"/>
  <c r="AN46" i="10"/>
  <c r="AN48" i="10"/>
  <c r="AO59" i="10"/>
  <c r="AO49" i="10"/>
  <c r="AO50" i="10"/>
  <c r="AO48" i="10"/>
  <c r="AO47" i="10"/>
  <c r="AO46" i="10"/>
  <c r="AN27" i="10"/>
  <c r="AN31" i="10"/>
  <c r="AN23" i="10"/>
  <c r="G276" i="1" s="1"/>
  <c r="AN39" i="10"/>
  <c r="AO39" i="10"/>
  <c r="AO43" i="10"/>
  <c r="AO40" i="10"/>
  <c r="AO58" i="10"/>
  <c r="AO57" i="10"/>
  <c r="AO56" i="10"/>
  <c r="AO55" i="10"/>
  <c r="AO54" i="10"/>
  <c r="AO53" i="10"/>
  <c r="AO52" i="10"/>
  <c r="AO51" i="10"/>
  <c r="AO44" i="10"/>
  <c r="AO42" i="10"/>
  <c r="AO41" i="10"/>
  <c r="AO38" i="10"/>
  <c r="AO36" i="10"/>
  <c r="AO34" i="10"/>
  <c r="AO33" i="10"/>
  <c r="AO31" i="10"/>
  <c r="AO28" i="10"/>
  <c r="AO27" i="10"/>
  <c r="J27" i="3" l="1"/>
  <c r="S260" i="1"/>
  <c r="J296" i="1"/>
  <c r="G23" i="3"/>
  <c r="P268" i="1"/>
  <c r="G292" i="1"/>
  <c r="D13" i="3"/>
  <c r="D282" i="1"/>
  <c r="P13" i="3"/>
  <c r="J256" i="1"/>
  <c r="P282" i="1"/>
  <c r="D25" i="3"/>
  <c r="D294" i="1"/>
  <c r="D9" i="3"/>
  <c r="D278" i="1"/>
  <c r="J7" i="3"/>
  <c r="J276" i="1"/>
  <c r="D16" i="3"/>
  <c r="D285" i="1"/>
  <c r="S13" i="3"/>
  <c r="S282" i="1"/>
  <c r="M29" i="3"/>
  <c r="M298" i="1"/>
  <c r="M18" i="3"/>
  <c r="P266" i="1"/>
  <c r="M287" i="1"/>
  <c r="D29" i="3"/>
  <c r="D298" i="1"/>
  <c r="M19" i="3"/>
  <c r="M288" i="1"/>
  <c r="M27" i="3"/>
  <c r="M296" i="1"/>
  <c r="G11" i="3"/>
  <c r="G260" i="1"/>
  <c r="G280" i="1"/>
  <c r="M7" i="3"/>
  <c r="M276" i="1"/>
  <c r="J25" i="3"/>
  <c r="J294" i="1"/>
  <c r="G25" i="3"/>
  <c r="G294" i="1"/>
  <c r="G12" i="3"/>
  <c r="G281" i="1"/>
  <c r="J10" i="3"/>
  <c r="J279" i="1"/>
  <c r="D27" i="3"/>
  <c r="D296" i="1"/>
  <c r="J9" i="3"/>
  <c r="J278" i="1"/>
  <c r="J23" i="3"/>
  <c r="J292" i="1"/>
  <c r="S256" i="1"/>
  <c r="S27" i="3"/>
  <c r="S296" i="1"/>
  <c r="S264" i="1"/>
  <c r="V27" i="3"/>
  <c r="S266" i="1"/>
  <c r="V296" i="1"/>
  <c r="P14" i="3"/>
  <c r="P283" i="1"/>
  <c r="Y13" i="3"/>
  <c r="Y282" i="1"/>
  <c r="G16" i="3"/>
  <c r="P262" i="1"/>
  <c r="G285" i="1"/>
  <c r="G18" i="3"/>
  <c r="G287" i="1"/>
  <c r="J258" i="1"/>
  <c r="J30" i="3"/>
  <c r="J299" i="1"/>
  <c r="D11" i="3"/>
  <c r="D280" i="1"/>
  <c r="P27" i="3"/>
  <c r="S262" i="1"/>
  <c r="P296" i="1"/>
  <c r="J13" i="3"/>
  <c r="J282" i="1"/>
  <c r="M23" i="3"/>
  <c r="S258" i="1"/>
  <c r="M292" i="1"/>
  <c r="V14" i="3"/>
  <c r="V283" i="1"/>
  <c r="D18" i="3"/>
  <c r="D287" i="1"/>
  <c r="G29" i="3"/>
  <c r="G298" i="1"/>
  <c r="J260" i="1"/>
  <c r="D20" i="3"/>
  <c r="D289" i="1"/>
  <c r="J29" i="3"/>
  <c r="J298" i="1"/>
  <c r="J262" i="1"/>
  <c r="D23" i="3"/>
  <c r="D292" i="1"/>
  <c r="M16" i="3"/>
  <c r="M285" i="1"/>
  <c r="P264" i="1"/>
  <c r="P28" i="3"/>
  <c r="P297" i="1"/>
  <c r="G10" i="3"/>
  <c r="G279" i="1"/>
  <c r="J24" i="3"/>
  <c r="J293" i="1"/>
  <c r="J18" i="3"/>
  <c r="J287" i="1"/>
  <c r="J16" i="3"/>
  <c r="J285" i="1"/>
  <c r="M8" i="3"/>
  <c r="M277" i="1"/>
  <c r="J26" i="3"/>
  <c r="J295" i="1"/>
  <c r="G20" i="3"/>
  <c r="G289" i="1"/>
  <c r="G17" i="3"/>
  <c r="G286" i="1"/>
  <c r="J8" i="3"/>
  <c r="J277" i="1"/>
  <c r="G27" i="3"/>
  <c r="G296" i="1"/>
  <c r="G19" i="3"/>
  <c r="G288" i="1"/>
  <c r="D6" i="3"/>
  <c r="D275" i="1"/>
  <c r="H332" i="4"/>
  <c r="H506" i="4"/>
  <c r="H333" i="4"/>
  <c r="H507" i="4"/>
  <c r="J47" i="1"/>
  <c r="J35" i="1"/>
  <c r="M38" i="1"/>
  <c r="M29" i="1"/>
  <c r="D29" i="1"/>
  <c r="D31" i="1"/>
  <c r="D35" i="1"/>
  <c r="M45" i="1"/>
  <c r="D33" i="1"/>
  <c r="S35" i="1"/>
  <c r="D38" i="1"/>
  <c r="G47" i="1"/>
  <c r="Y35" i="1"/>
  <c r="D45" i="1"/>
  <c r="G38" i="1"/>
  <c r="D47" i="1"/>
  <c r="J49" i="1"/>
  <c r="J31" i="1"/>
  <c r="M49" i="1"/>
  <c r="G33" i="1"/>
  <c r="G40" i="1"/>
  <c r="P49" i="1"/>
  <c r="D40" i="1"/>
  <c r="J40" i="1"/>
  <c r="S49" i="1"/>
  <c r="D42" i="1"/>
  <c r="G7" i="3"/>
  <c r="J89" i="1"/>
  <c r="M40" i="1"/>
  <c r="V49" i="1"/>
  <c r="G45" i="1"/>
  <c r="J51" i="1"/>
  <c r="D49" i="1"/>
  <c r="G49" i="1"/>
  <c r="J38" i="1"/>
  <c r="G42" i="1"/>
  <c r="G51" i="1"/>
  <c r="P35" i="1"/>
  <c r="J45" i="1"/>
  <c r="M51" i="1"/>
  <c r="D51" i="1"/>
  <c r="C25" i="10"/>
  <c r="C26" i="10"/>
  <c r="C27" i="10"/>
  <c r="Y721" i="3" s="1"/>
  <c r="C505" i="10"/>
  <c r="D116" i="9" s="1"/>
  <c r="C506" i="10"/>
  <c r="G116" i="9" s="1"/>
  <c r="C507" i="10"/>
  <c r="L116" i="9" s="1"/>
  <c r="C508" i="10"/>
  <c r="D118" i="9" s="1"/>
  <c r="C509" i="10"/>
  <c r="G118" i="9" s="1"/>
  <c r="C510" i="10"/>
  <c r="L118" i="9" s="1"/>
  <c r="L86" i="9"/>
  <c r="L84" i="9"/>
  <c r="L82" i="9"/>
  <c r="L80" i="9"/>
  <c r="L78" i="9"/>
  <c r="E86" i="9"/>
  <c r="E84" i="9"/>
  <c r="C668" i="10"/>
  <c r="C667" i="10"/>
  <c r="E82" i="9"/>
  <c r="E80" i="9"/>
  <c r="E78" i="9"/>
  <c r="E72" i="9"/>
  <c r="E70" i="9"/>
  <c r="E68" i="9"/>
  <c r="E66" i="9"/>
  <c r="E64" i="9"/>
  <c r="AO35" i="10"/>
  <c r="V282" i="1" s="1"/>
  <c r="AO32" i="10"/>
  <c r="AO30" i="10"/>
  <c r="G282" i="1" s="1"/>
  <c r="AO29" i="10"/>
  <c r="J280" i="1" s="1"/>
  <c r="AO25" i="10"/>
  <c r="AO24" i="10"/>
  <c r="AO23" i="10"/>
  <c r="AR25" i="10"/>
  <c r="G398" i="10" s="1"/>
  <c r="AR24" i="10"/>
  <c r="AR23" i="10"/>
  <c r="C656" i="10"/>
  <c r="D52" i="9" s="1"/>
  <c r="C657" i="10"/>
  <c r="L52" i="9" s="1"/>
  <c r="C641" i="10"/>
  <c r="L37" i="9" s="1"/>
  <c r="C642" i="10"/>
  <c r="D38" i="9" s="1"/>
  <c r="C643" i="10"/>
  <c r="L38" i="9" s="1"/>
  <c r="C644" i="10"/>
  <c r="D40" i="9" s="1"/>
  <c r="C645" i="10"/>
  <c r="L40" i="9" s="1"/>
  <c r="C646" i="10"/>
  <c r="D42" i="9" s="1"/>
  <c r="C647" i="10"/>
  <c r="L42" i="9" s="1"/>
  <c r="C648" i="10"/>
  <c r="D44" i="9" s="1"/>
  <c r="C649" i="10"/>
  <c r="L44" i="9" s="1"/>
  <c r="C650" i="10"/>
  <c r="D46" i="9" s="1"/>
  <c r="C651" i="10"/>
  <c r="L46" i="9" s="1"/>
  <c r="C654" i="10"/>
  <c r="D50" i="9" s="1"/>
  <c r="C655" i="10"/>
  <c r="L50" i="9" s="1"/>
  <c r="C652" i="10"/>
  <c r="D48" i="9" s="1"/>
  <c r="C653" i="10"/>
  <c r="L48" i="9" s="1"/>
  <c r="C658" i="10"/>
  <c r="D54" i="9" s="1"/>
  <c r="C659" i="10"/>
  <c r="L54" i="9" s="1"/>
  <c r="C660" i="10"/>
  <c r="D56" i="9" s="1"/>
  <c r="C661" i="10"/>
  <c r="L56" i="9" s="1"/>
  <c r="C663" i="10"/>
  <c r="C664" i="10"/>
  <c r="C665" i="10"/>
  <c r="C666" i="10"/>
  <c r="C629" i="10"/>
  <c r="C630" i="10"/>
  <c r="C631" i="10"/>
  <c r="C632" i="10"/>
  <c r="C633" i="10"/>
  <c r="C634" i="10"/>
  <c r="D32" i="9" s="1"/>
  <c r="C635" i="10"/>
  <c r="L32" i="9" s="1"/>
  <c r="C636" i="10"/>
  <c r="D34" i="9" s="1"/>
  <c r="C637" i="10"/>
  <c r="L34" i="9" s="1"/>
  <c r="C638" i="10"/>
  <c r="C639" i="10"/>
  <c r="L35" i="9" s="1"/>
  <c r="C626" i="10"/>
  <c r="D26" i="9" s="1"/>
  <c r="C627" i="10"/>
  <c r="L26" i="9" s="1"/>
  <c r="C640" i="10"/>
  <c r="D37" i="9" s="1"/>
  <c r="L51" i="1"/>
  <c r="I51" i="1"/>
  <c r="F51" i="1"/>
  <c r="C51" i="1"/>
  <c r="U49" i="1"/>
  <c r="R49" i="1"/>
  <c r="O49" i="1"/>
  <c r="L49" i="1"/>
  <c r="I49" i="1"/>
  <c r="F49" i="1"/>
  <c r="C49" i="1"/>
  <c r="I47" i="1"/>
  <c r="F47" i="1"/>
  <c r="C47" i="1"/>
  <c r="L45" i="1"/>
  <c r="I45" i="1"/>
  <c r="F45" i="1"/>
  <c r="C45" i="1"/>
  <c r="F42" i="1"/>
  <c r="C42" i="1"/>
  <c r="L40" i="1"/>
  <c r="I40" i="1"/>
  <c r="F40" i="1"/>
  <c r="C40" i="1"/>
  <c r="L38" i="1"/>
  <c r="I38" i="1"/>
  <c r="F38" i="1"/>
  <c r="C38" i="1"/>
  <c r="X35" i="1"/>
  <c r="U35" i="1"/>
  <c r="R35" i="1"/>
  <c r="O35" i="1"/>
  <c r="L35" i="1"/>
  <c r="I35" i="1"/>
  <c r="F35" i="1"/>
  <c r="C35" i="1"/>
  <c r="I33" i="1"/>
  <c r="F33" i="1"/>
  <c r="C33" i="1"/>
  <c r="I31" i="1"/>
  <c r="F31" i="1"/>
  <c r="C31" i="1"/>
  <c r="L29" i="1"/>
  <c r="I29" i="1"/>
  <c r="F29" i="1"/>
  <c r="C29" i="1"/>
  <c r="I392" i="10" l="1"/>
  <c r="E392" i="10"/>
  <c r="E398" i="10"/>
  <c r="I398" i="10"/>
  <c r="H465" i="4"/>
  <c r="G275" i="1"/>
  <c r="P256" i="1"/>
  <c r="G256" i="1"/>
  <c r="P258" i="1"/>
  <c r="J275" i="1"/>
  <c r="G258" i="1"/>
  <c r="M282" i="1"/>
  <c r="G262" i="1"/>
  <c r="M6" i="3"/>
  <c r="M275" i="1"/>
  <c r="H294" i="4"/>
  <c r="H466" i="4"/>
  <c r="H295" i="4"/>
  <c r="H468" i="4"/>
  <c r="G191" i="1"/>
  <c r="H293" i="4"/>
  <c r="G192" i="1"/>
  <c r="G193" i="1"/>
  <c r="H122" i="4"/>
  <c r="M13" i="3"/>
  <c r="M35" i="1"/>
  <c r="V13" i="3"/>
  <c r="V35" i="1"/>
  <c r="J6" i="3"/>
  <c r="J29" i="1"/>
  <c r="G9" i="3"/>
  <c r="G31" i="1"/>
  <c r="G13" i="3"/>
  <c r="G35" i="1"/>
  <c r="J11" i="3"/>
  <c r="J33" i="1"/>
  <c r="G6" i="3"/>
  <c r="G29" i="1"/>
  <c r="Y712" i="3"/>
  <c r="Y718" i="3"/>
  <c r="BI72" i="10"/>
  <c r="BH72" i="10"/>
  <c r="BG72" i="10"/>
  <c r="BF72" i="10"/>
  <c r="C592" i="10" l="1"/>
  <c r="F255" i="1" s="1"/>
  <c r="C591" i="10"/>
  <c r="O255" i="1" s="1"/>
  <c r="C119" i="10"/>
  <c r="C117" i="10"/>
  <c r="C115" i="10"/>
  <c r="C114" i="10"/>
  <c r="C113" i="10"/>
  <c r="C112" i="10"/>
  <c r="C111" i="10"/>
  <c r="C110" i="10"/>
  <c r="C109" i="10"/>
  <c r="C108" i="10"/>
  <c r="C106" i="10"/>
  <c r="C104" i="10"/>
  <c r="C103" i="10"/>
  <c r="C102" i="10"/>
  <c r="C101" i="10"/>
  <c r="C100" i="10"/>
  <c r="C97" i="10"/>
  <c r="C96" i="10"/>
  <c r="C93" i="10"/>
  <c r="C92" i="10"/>
  <c r="C86" i="10"/>
  <c r="C85" i="10"/>
  <c r="C84" i="10"/>
  <c r="C83" i="10"/>
  <c r="C82" i="10"/>
  <c r="C81" i="10"/>
  <c r="C80" i="10"/>
  <c r="C79" i="10"/>
  <c r="C78" i="10"/>
  <c r="C77" i="10"/>
  <c r="C76" i="10"/>
  <c r="C74" i="10"/>
  <c r="C73" i="10"/>
  <c r="C72" i="10"/>
  <c r="C71" i="10"/>
  <c r="C70" i="10"/>
  <c r="C69" i="10"/>
  <c r="C68" i="10"/>
  <c r="C67" i="10"/>
  <c r="C66" i="10"/>
  <c r="C65" i="10"/>
  <c r="C64" i="10"/>
  <c r="D146" i="1" s="1"/>
  <c r="C61" i="10"/>
  <c r="C60" i="10"/>
  <c r="AR59" i="10"/>
  <c r="C59" i="10"/>
  <c r="AR58" i="10"/>
  <c r="C58" i="10"/>
  <c r="AR57" i="10"/>
  <c r="AL57" i="10"/>
  <c r="C57" i="10"/>
  <c r="AR56" i="10"/>
  <c r="C56" i="10"/>
  <c r="D111" i="1" s="1"/>
  <c r="AR55" i="10"/>
  <c r="C55" i="10"/>
  <c r="D108" i="1" s="1"/>
  <c r="AR54" i="10"/>
  <c r="AR53" i="10"/>
  <c r="AR52" i="10"/>
  <c r="C52" i="10"/>
  <c r="AR51" i="10"/>
  <c r="AL51" i="10"/>
  <c r="AC401" i="10" s="1"/>
  <c r="C51" i="10"/>
  <c r="AR50" i="10"/>
  <c r="BA49" i="10"/>
  <c r="U522" i="4"/>
  <c r="AR49" i="10"/>
  <c r="AL49" i="10"/>
  <c r="AC400" i="10" s="1"/>
  <c r="BA48" i="10"/>
  <c r="AU48" i="10"/>
  <c r="U517" i="4" s="1"/>
  <c r="C48" i="10"/>
  <c r="BA47" i="10"/>
  <c r="AU47" i="10"/>
  <c r="U511" i="4" s="1"/>
  <c r="BA46" i="10"/>
  <c r="AX46" i="10"/>
  <c r="AU46" i="10"/>
  <c r="U507" i="4" s="1"/>
  <c r="AL46" i="10"/>
  <c r="W398" i="10" s="1"/>
  <c r="AK46" i="10"/>
  <c r="G375" i="10" s="1"/>
  <c r="C45" i="10"/>
  <c r="BA44" i="10"/>
  <c r="AR44" i="10"/>
  <c r="AC348" i="10" s="1"/>
  <c r="AL44" i="10"/>
  <c r="C44" i="10"/>
  <c r="BA43" i="10"/>
  <c r="AR43" i="10"/>
  <c r="BA42" i="10"/>
  <c r="AR42" i="10"/>
  <c r="BA41" i="10"/>
  <c r="AR41" i="10"/>
  <c r="AC399" i="10"/>
  <c r="BA40" i="10"/>
  <c r="AU40" i="10"/>
  <c r="U497" i="4" s="1"/>
  <c r="AR40" i="10"/>
  <c r="H493" i="4" s="1"/>
  <c r="C40" i="10"/>
  <c r="BA39" i="10"/>
  <c r="U495" i="4"/>
  <c r="AR39" i="10"/>
  <c r="H492" i="4" s="1"/>
  <c r="C39" i="10"/>
  <c r="BA38" i="10"/>
  <c r="U491" i="4"/>
  <c r="AR38" i="10"/>
  <c r="AL38" i="10"/>
  <c r="AK38" i="10"/>
  <c r="C38" i="10"/>
  <c r="C37" i="10"/>
  <c r="AR36" i="10"/>
  <c r="C36" i="10"/>
  <c r="AB167" i="4"/>
  <c r="C35" i="10"/>
  <c r="AR34" i="10"/>
  <c r="C34" i="10"/>
  <c r="AR33" i="10"/>
  <c r="C33" i="10"/>
  <c r="U484" i="4"/>
  <c r="AR32" i="10"/>
  <c r="I528" i="10" s="1"/>
  <c r="C32" i="10"/>
  <c r="AU31" i="10"/>
  <c r="U482" i="4" s="1"/>
  <c r="AR31" i="10"/>
  <c r="AU30" i="10"/>
  <c r="U475" i="4" s="1"/>
  <c r="AR30" i="10"/>
  <c r="AL30" i="10"/>
  <c r="C30" i="10"/>
  <c r="U472" i="4"/>
  <c r="AR29" i="10"/>
  <c r="C29" i="10"/>
  <c r="U471" i="4"/>
  <c r="AR28" i="10"/>
  <c r="AL28" i="10"/>
  <c r="G389" i="10" s="1"/>
  <c r="AU27" i="10"/>
  <c r="U469" i="4" s="1"/>
  <c r="AR27" i="10"/>
  <c r="G391" i="10" s="1"/>
  <c r="AU26" i="10"/>
  <c r="U468" i="4" s="1"/>
  <c r="AR26" i="10"/>
  <c r="G392" i="10" s="1"/>
  <c r="AL26" i="10"/>
  <c r="U467" i="4"/>
  <c r="U466" i="4"/>
  <c r="C24" i="10"/>
  <c r="AU23" i="10"/>
  <c r="U465" i="4" s="1"/>
  <c r="AL23" i="10"/>
  <c r="AK23" i="10"/>
  <c r="C23" i="10"/>
  <c r="AQ22" i="10"/>
  <c r="AK22" i="10"/>
  <c r="B28" i="1" s="1"/>
  <c r="C21" i="10"/>
  <c r="C20" i="10"/>
  <c r="C19" i="10"/>
  <c r="C18" i="10"/>
  <c r="Y566" i="3" s="1"/>
  <c r="C17" i="10"/>
  <c r="Y421" i="3" s="1"/>
  <c r="C16" i="10"/>
  <c r="C15" i="10"/>
  <c r="Y636" i="3" s="1"/>
  <c r="AQ14" i="10"/>
  <c r="C14" i="10"/>
  <c r="C13" i="10"/>
  <c r="AI12" i="10"/>
  <c r="C12" i="10"/>
  <c r="Y116" i="3" s="1"/>
  <c r="AI11" i="10"/>
  <c r="C11" i="10"/>
  <c r="XFD135" i="1" s="1"/>
  <c r="AI10" i="10"/>
  <c r="AI9" i="10"/>
  <c r="C9" i="10"/>
  <c r="AV8" i="10"/>
  <c r="AT8" i="10"/>
  <c r="AK8" i="10"/>
  <c r="AI8" i="10"/>
  <c r="AG8" i="10"/>
  <c r="C8" i="10"/>
  <c r="D65" i="3" s="1"/>
  <c r="AY7" i="10"/>
  <c r="AX7" i="10"/>
  <c r="AW7" i="10"/>
  <c r="AV7" i="10"/>
  <c r="AU7" i="10"/>
  <c r="AT7" i="10"/>
  <c r="AS7" i="10"/>
  <c r="AR7" i="10"/>
  <c r="AP7" i="10"/>
  <c r="AK7" i="10"/>
  <c r="AG7" i="10"/>
  <c r="C7" i="10"/>
  <c r="AX6" i="10"/>
  <c r="AW6" i="10"/>
  <c r="AV6" i="10"/>
  <c r="AU6" i="10"/>
  <c r="AT6" i="10"/>
  <c r="AR6" i="10"/>
  <c r="AQ6" i="10"/>
  <c r="AP6" i="10"/>
  <c r="AO6" i="10"/>
  <c r="AM6" i="10"/>
  <c r="AK6" i="10"/>
  <c r="AJ6" i="10"/>
  <c r="AI6" i="10"/>
  <c r="AG6" i="10"/>
  <c r="AF6" i="10"/>
  <c r="C6" i="10"/>
  <c r="AX5" i="10"/>
  <c r="AV5" i="10"/>
  <c r="AU5" i="10"/>
  <c r="AT5" i="10"/>
  <c r="AQ5" i="10"/>
  <c r="Y2" i="1" s="1"/>
  <c r="AP5" i="10"/>
  <c r="AO5" i="10"/>
  <c r="AM5" i="10"/>
  <c r="AK5" i="10"/>
  <c r="AJ5" i="10"/>
  <c r="AI5" i="10"/>
  <c r="AH5" i="10"/>
  <c r="AG5" i="10"/>
  <c r="C5" i="10"/>
  <c r="AY4" i="10"/>
  <c r="AV4" i="10"/>
  <c r="AU4" i="10"/>
  <c r="AT4" i="10"/>
  <c r="AS4" i="10"/>
  <c r="AR4" i="10"/>
  <c r="AQ4" i="10"/>
  <c r="AP4" i="10"/>
  <c r="AO4" i="10"/>
  <c r="AM4" i="10"/>
  <c r="AL4" i="10"/>
  <c r="AJ4" i="10"/>
  <c r="AI4" i="10"/>
  <c r="AH4" i="10"/>
  <c r="AF4" i="10"/>
  <c r="C590" i="10"/>
  <c r="Z176" i="4"/>
  <c r="Z171" i="4"/>
  <c r="I30" i="3"/>
  <c r="O28" i="3"/>
  <c r="Z165" i="4"/>
  <c r="I26" i="3"/>
  <c r="Z161" i="4"/>
  <c r="G177" i="4"/>
  <c r="G176" i="4"/>
  <c r="G175" i="4"/>
  <c r="G173" i="4"/>
  <c r="G172" i="4"/>
  <c r="G171" i="4"/>
  <c r="G170" i="4"/>
  <c r="G169" i="4"/>
  <c r="G168" i="4"/>
  <c r="G165" i="4"/>
  <c r="G164" i="4"/>
  <c r="G162" i="4"/>
  <c r="G161" i="4"/>
  <c r="G160" i="4"/>
  <c r="Z151" i="4"/>
  <c r="Z149" i="4"/>
  <c r="G151" i="4"/>
  <c r="G150" i="4"/>
  <c r="G149" i="4"/>
  <c r="Z145" i="4"/>
  <c r="G147" i="4"/>
  <c r="G146" i="4"/>
  <c r="G145" i="4"/>
  <c r="G153" i="4"/>
  <c r="Z138" i="4"/>
  <c r="Z136" i="4"/>
  <c r="Z129" i="4"/>
  <c r="Z126" i="4"/>
  <c r="Z125" i="4"/>
  <c r="Z123" i="4"/>
  <c r="Z122" i="4"/>
  <c r="Z121" i="4"/>
  <c r="Z120" i="4"/>
  <c r="Z119" i="4"/>
  <c r="W349" i="10"/>
  <c r="R331" i="10"/>
  <c r="G578" i="10" s="1"/>
  <c r="S354" i="10"/>
  <c r="R354" i="10"/>
  <c r="Q354" i="10"/>
  <c r="G139" i="4"/>
  <c r="G138" i="4"/>
  <c r="G137" i="4"/>
  <c r="G136" i="4"/>
  <c r="G135" i="4"/>
  <c r="G134" i="4"/>
  <c r="G133" i="4"/>
  <c r="G130" i="4"/>
  <c r="G129" i="4"/>
  <c r="G126" i="4"/>
  <c r="G125" i="4"/>
  <c r="G122" i="4"/>
  <c r="G120" i="4"/>
  <c r="G119" i="4"/>
  <c r="B233" i="10"/>
  <c r="AF299" i="10"/>
  <c r="AF271" i="10"/>
  <c r="Y31" i="3"/>
  <c r="F57" i="3"/>
  <c r="V4" i="3"/>
  <c r="G388" i="10" l="1"/>
  <c r="I388" i="10"/>
  <c r="G421" i="10"/>
  <c r="E421" i="10"/>
  <c r="I391" i="10"/>
  <c r="G401" i="10"/>
  <c r="G386" i="10"/>
  <c r="G376" i="10"/>
  <c r="E376" i="10"/>
  <c r="G422" i="10"/>
  <c r="E422" i="10"/>
  <c r="D135" i="1"/>
  <c r="D91" i="1"/>
  <c r="D78" i="1"/>
  <c r="G377" i="10"/>
  <c r="Y91" i="1"/>
  <c r="XFD78" i="1"/>
  <c r="I390" i="10"/>
  <c r="G390" i="10"/>
  <c r="E390" i="10"/>
  <c r="Y418" i="3"/>
  <c r="Z8" i="4"/>
  <c r="Z182" i="4"/>
  <c r="Z354" i="4"/>
  <c r="Z9" i="4"/>
  <c r="Z355" i="4"/>
  <c r="Z183" i="4"/>
  <c r="I421" i="10"/>
  <c r="E377" i="10"/>
  <c r="E388" i="10"/>
  <c r="E401" i="10"/>
  <c r="I389" i="10"/>
  <c r="E389" i="10"/>
  <c r="G528" i="10"/>
  <c r="E391" i="10"/>
  <c r="I376" i="10"/>
  <c r="I377" i="10"/>
  <c r="AC396" i="10"/>
  <c r="R337" i="10"/>
  <c r="AD337" i="10"/>
  <c r="AF337" i="10"/>
  <c r="T337" i="10"/>
  <c r="H491" i="4"/>
  <c r="AE348" i="10"/>
  <c r="H495" i="4"/>
  <c r="AD348" i="10"/>
  <c r="AC395" i="10"/>
  <c r="AE337" i="10"/>
  <c r="S337" i="10"/>
  <c r="Q337" i="10"/>
  <c r="AC337" i="10"/>
  <c r="H472" i="4"/>
  <c r="W396" i="10"/>
  <c r="AC397" i="10"/>
  <c r="B292" i="1"/>
  <c r="C100" i="4"/>
  <c r="C94" i="4"/>
  <c r="C440" i="4"/>
  <c r="C446" i="4"/>
  <c r="C268" i="4"/>
  <c r="C274" i="4"/>
  <c r="B275" i="1"/>
  <c r="C98" i="4"/>
  <c r="C92" i="4"/>
  <c r="C266" i="4"/>
  <c r="C438" i="4"/>
  <c r="C444" i="4"/>
  <c r="C272" i="4"/>
  <c r="B285" i="1"/>
  <c r="C99" i="4"/>
  <c r="C93" i="4"/>
  <c r="C439" i="4"/>
  <c r="C273" i="4"/>
  <c r="C445" i="4"/>
  <c r="C267" i="4"/>
  <c r="S328" i="1"/>
  <c r="W399" i="10"/>
  <c r="AC402" i="10"/>
  <c r="L337" i="10"/>
  <c r="K317" i="10"/>
  <c r="W355" i="10"/>
  <c r="W358" i="10"/>
  <c r="W351" i="10"/>
  <c r="W357" i="10"/>
  <c r="W356" i="10"/>
  <c r="W353" i="10"/>
  <c r="W352" i="10"/>
  <c r="W350" i="10"/>
  <c r="K316" i="10"/>
  <c r="W395" i="10"/>
  <c r="M337" i="10"/>
  <c r="K337" i="10"/>
  <c r="K318" i="10"/>
  <c r="G89" i="1"/>
  <c r="K315" i="10"/>
  <c r="N337" i="10"/>
  <c r="G18" i="9"/>
  <c r="G230" i="1"/>
  <c r="G226" i="1"/>
  <c r="G14" i="9"/>
  <c r="G20" i="9"/>
  <c r="G232" i="1"/>
  <c r="G16" i="9"/>
  <c r="G228" i="1"/>
  <c r="B373" i="4"/>
  <c r="B462" i="4"/>
  <c r="O388" i="4"/>
  <c r="H483" i="4"/>
  <c r="R389" i="4"/>
  <c r="H497" i="4"/>
  <c r="H347" i="4"/>
  <c r="H521" i="4"/>
  <c r="AB513" i="4"/>
  <c r="C513" i="4"/>
  <c r="H340" i="4"/>
  <c r="H514" i="4"/>
  <c r="B488" i="4"/>
  <c r="B375" i="4"/>
  <c r="B503" i="4"/>
  <c r="B377" i="4"/>
  <c r="H496" i="4"/>
  <c r="R388" i="4"/>
  <c r="H348" i="4"/>
  <c r="H522" i="4"/>
  <c r="H301" i="4"/>
  <c r="H475" i="4"/>
  <c r="H308" i="4"/>
  <c r="H482" i="4"/>
  <c r="H297" i="4"/>
  <c r="H471" i="4"/>
  <c r="H302" i="4"/>
  <c r="H476" i="4"/>
  <c r="H337" i="4"/>
  <c r="H511" i="4"/>
  <c r="H325" i="4"/>
  <c r="H499" i="4"/>
  <c r="H307" i="4"/>
  <c r="H481" i="4"/>
  <c r="H336" i="4"/>
  <c r="H510" i="4"/>
  <c r="H344" i="4"/>
  <c r="H518" i="4"/>
  <c r="H345" i="4"/>
  <c r="H519" i="4"/>
  <c r="H305" i="4"/>
  <c r="H479" i="4"/>
  <c r="H306" i="4"/>
  <c r="H480" i="4"/>
  <c r="O389" i="4"/>
  <c r="H485" i="4"/>
  <c r="H334" i="4"/>
  <c r="H508" i="4"/>
  <c r="H341" i="4"/>
  <c r="H515" i="4"/>
  <c r="H342" i="4"/>
  <c r="H516" i="4"/>
  <c r="H349" i="4"/>
  <c r="H523" i="4"/>
  <c r="B525" i="4"/>
  <c r="B379" i="4"/>
  <c r="H343" i="4"/>
  <c r="H517" i="4"/>
  <c r="B329" i="4"/>
  <c r="B205" i="4"/>
  <c r="H145" i="4"/>
  <c r="H317" i="4"/>
  <c r="U145" i="4"/>
  <c r="H322" i="4"/>
  <c r="R216" i="4"/>
  <c r="H149" i="4"/>
  <c r="H321" i="4"/>
  <c r="O216" i="4"/>
  <c r="H309" i="4"/>
  <c r="H146" i="4"/>
  <c r="H318" i="4"/>
  <c r="H323" i="4"/>
  <c r="R217" i="4"/>
  <c r="B201" i="4"/>
  <c r="B290" i="4"/>
  <c r="Y484" i="3"/>
  <c r="Y478" i="3"/>
  <c r="G196" i="1"/>
  <c r="H298" i="4"/>
  <c r="H311" i="4"/>
  <c r="O217" i="4"/>
  <c r="B314" i="4"/>
  <c r="B203" i="4"/>
  <c r="C339" i="4"/>
  <c r="U149" i="4"/>
  <c r="H147" i="4"/>
  <c r="H319" i="4"/>
  <c r="B207" i="4"/>
  <c r="B351" i="4"/>
  <c r="U151" i="4"/>
  <c r="G195" i="1"/>
  <c r="AC398" i="10"/>
  <c r="Q92" i="4"/>
  <c r="Q98" i="4"/>
  <c r="Q94" i="4"/>
  <c r="Q100" i="4"/>
  <c r="Q93" i="4"/>
  <c r="Q99" i="4"/>
  <c r="B45" i="1"/>
  <c r="B29" i="1"/>
  <c r="B38" i="1"/>
  <c r="Y77" i="3"/>
  <c r="Y80" i="3"/>
  <c r="Y451" i="3"/>
  <c r="Y505" i="3"/>
  <c r="Y370" i="3"/>
  <c r="Y676" i="3"/>
  <c r="Y652" i="3"/>
  <c r="Y743" i="3"/>
  <c r="Y166" i="3"/>
  <c r="G66" i="9"/>
  <c r="N78" i="9"/>
  <c r="N80" i="9"/>
  <c r="G68" i="9"/>
  <c r="V120" i="3"/>
  <c r="V117" i="3"/>
  <c r="N86" i="9"/>
  <c r="N84" i="9"/>
  <c r="G84" i="9"/>
  <c r="N82" i="9"/>
  <c r="G78" i="9"/>
  <c r="G86" i="9"/>
  <c r="G72" i="9"/>
  <c r="G70" i="9"/>
  <c r="G64" i="9"/>
  <c r="G80" i="9"/>
  <c r="BA28" i="10"/>
  <c r="K401" i="10"/>
  <c r="Q401" i="10"/>
  <c r="R42" i="4"/>
  <c r="U176" i="4"/>
  <c r="O42" i="4"/>
  <c r="Q402" i="10"/>
  <c r="O43" i="4"/>
  <c r="K400" i="10"/>
  <c r="U161" i="4"/>
  <c r="BA24" i="10"/>
  <c r="BA26" i="10"/>
  <c r="K399" i="10"/>
  <c r="R43" i="4"/>
  <c r="BA23" i="10"/>
  <c r="K404" i="10"/>
  <c r="BA25" i="10"/>
  <c r="U171" i="4"/>
  <c r="AB27" i="4"/>
  <c r="B27" i="4"/>
  <c r="AB31" i="4"/>
  <c r="B31" i="4"/>
  <c r="AB179" i="4"/>
  <c r="AB33" i="4"/>
  <c r="B33" i="4"/>
  <c r="AB29" i="4"/>
  <c r="B29" i="4"/>
  <c r="AB116" i="4"/>
  <c r="AB142" i="4"/>
  <c r="AB157" i="4"/>
  <c r="AG246" i="10"/>
  <c r="K395" i="10"/>
  <c r="Q395" i="10"/>
  <c r="W397" i="10"/>
  <c r="BA30" i="10"/>
  <c r="AO115" i="10"/>
  <c r="AO118" i="10" s="1"/>
  <c r="AG299" i="10"/>
  <c r="BA36" i="10"/>
  <c r="K402" i="10"/>
  <c r="K403" i="10"/>
  <c r="Q396" i="10"/>
  <c r="W394" i="10"/>
  <c r="AC394" i="10"/>
  <c r="U165" i="4"/>
  <c r="Q403" i="10"/>
  <c r="B157" i="4"/>
  <c r="AG271" i="10"/>
  <c r="BA33" i="10"/>
  <c r="Q394" i="10"/>
  <c r="Q397" i="10"/>
  <c r="K397" i="10"/>
  <c r="Q398" i="10"/>
  <c r="K398" i="10"/>
  <c r="Q399" i="10"/>
  <c r="BA34" i="10"/>
  <c r="Q400" i="10"/>
  <c r="K394" i="10"/>
  <c r="K396" i="10"/>
  <c r="B179" i="4"/>
  <c r="AO81" i="10"/>
  <c r="AO101" i="10"/>
  <c r="AO102" i="10" s="1"/>
  <c r="AO97" i="10"/>
  <c r="AO100" i="10" s="1"/>
  <c r="AO89" i="10"/>
  <c r="AO93" i="10"/>
  <c r="AO95" i="10" s="1"/>
  <c r="AO73" i="10"/>
  <c r="AO85" i="10"/>
  <c r="AO119" i="10"/>
  <c r="AO105" i="10"/>
  <c r="AO111" i="10"/>
  <c r="AO77" i="10"/>
  <c r="Z337" i="10"/>
  <c r="L28" i="9"/>
  <c r="D29" i="9"/>
  <c r="L29" i="9"/>
  <c r="D30" i="9"/>
  <c r="L30" i="9"/>
  <c r="G5" i="9"/>
  <c r="I24" i="3"/>
  <c r="L19" i="3"/>
  <c r="F19" i="3"/>
  <c r="F17" i="3"/>
  <c r="U14" i="3"/>
  <c r="O14" i="3"/>
  <c r="F12" i="3"/>
  <c r="I10" i="3"/>
  <c r="F10" i="3"/>
  <c r="L8" i="3"/>
  <c r="I8" i="3"/>
  <c r="L7" i="3"/>
  <c r="I7" i="3"/>
  <c r="F7" i="3"/>
  <c r="L29" i="3"/>
  <c r="I29" i="3"/>
  <c r="F29" i="3"/>
  <c r="U27" i="3"/>
  <c r="R27" i="3"/>
  <c r="O27" i="3"/>
  <c r="L27" i="3"/>
  <c r="I27" i="3"/>
  <c r="F27" i="3"/>
  <c r="I25" i="3"/>
  <c r="F25" i="3"/>
  <c r="L23" i="3"/>
  <c r="I23" i="3"/>
  <c r="F23" i="3"/>
  <c r="F20" i="3"/>
  <c r="L18" i="3"/>
  <c r="I18" i="3"/>
  <c r="F18" i="3"/>
  <c r="L16" i="3"/>
  <c r="I16" i="3"/>
  <c r="F16" i="3"/>
  <c r="X13" i="3"/>
  <c r="U13" i="3"/>
  <c r="R13" i="3"/>
  <c r="O13" i="3"/>
  <c r="L13" i="3"/>
  <c r="I13" i="3"/>
  <c r="F13" i="3"/>
  <c r="I11" i="3"/>
  <c r="F11" i="3"/>
  <c r="I9" i="3"/>
  <c r="F9" i="3"/>
  <c r="L6" i="3"/>
  <c r="I6" i="3"/>
  <c r="F6" i="3"/>
  <c r="C29" i="3"/>
  <c r="C27" i="3"/>
  <c r="C25" i="3"/>
  <c r="C23" i="3"/>
  <c r="C20" i="3"/>
  <c r="C18" i="3"/>
  <c r="C16" i="3"/>
  <c r="C13" i="3"/>
  <c r="C11" i="3"/>
  <c r="C9" i="3"/>
  <c r="C6" i="3"/>
  <c r="C498" i="4" l="1"/>
  <c r="C495" i="4"/>
  <c r="AB494" i="4"/>
  <c r="AB474" i="4"/>
  <c r="C474" i="4"/>
  <c r="C470" i="4"/>
  <c r="AB470" i="4"/>
  <c r="AB509" i="4"/>
  <c r="C510" i="4"/>
  <c r="C505" i="4"/>
  <c r="AB505" i="4"/>
  <c r="AB520" i="4"/>
  <c r="C520" i="4"/>
  <c r="AB464" i="4"/>
  <c r="C464" i="4"/>
  <c r="AB490" i="4"/>
  <c r="C490" i="4"/>
  <c r="C478" i="4"/>
  <c r="AB478" i="4"/>
  <c r="C346" i="4"/>
  <c r="D191" i="1"/>
  <c r="C292" i="4"/>
  <c r="C300" i="4"/>
  <c r="C331" i="4"/>
  <c r="C316" i="4"/>
  <c r="D194" i="1"/>
  <c r="C296" i="4"/>
  <c r="C336" i="4"/>
  <c r="C324" i="4"/>
  <c r="C304" i="4"/>
  <c r="C321" i="4"/>
  <c r="AO117" i="10"/>
  <c r="AO96" i="10"/>
  <c r="AO103" i="10"/>
  <c r="AO104" i="10"/>
  <c r="AO94" i="10"/>
  <c r="AO98" i="10"/>
  <c r="AO99" i="10"/>
  <c r="C118" i="4"/>
  <c r="AB118" i="4"/>
  <c r="B289" i="10"/>
  <c r="B260" i="10"/>
  <c r="B204" i="10"/>
  <c r="B192" i="10"/>
  <c r="B172" i="10"/>
  <c r="B156" i="10"/>
  <c r="B143" i="10"/>
  <c r="B110" i="10"/>
  <c r="B100" i="10"/>
  <c r="B92" i="10"/>
  <c r="B81" i="10"/>
  <c r="B77" i="10"/>
  <c r="B69" i="10"/>
  <c r="B65" i="10"/>
  <c r="B57" i="10"/>
  <c r="V325" i="1" l="1"/>
  <c r="V335" i="1"/>
  <c r="V332" i="1"/>
  <c r="V329" i="1"/>
  <c r="AS64" i="10"/>
  <c r="AF303" i="10"/>
  <c r="AJ306" i="10"/>
  <c r="AK306" i="10" s="1"/>
  <c r="AJ305" i="10"/>
  <c r="AK305" i="10" s="1"/>
  <c r="AJ304" i="10"/>
  <c r="AK304" i="10" s="1"/>
  <c r="AJ302" i="10"/>
  <c r="AK302" i="10" s="1"/>
  <c r="AJ301" i="10"/>
  <c r="AK301" i="10" s="1"/>
  <c r="AJ300" i="10"/>
  <c r="AK300" i="10" s="1"/>
  <c r="AF293" i="10"/>
  <c r="AJ298" i="10"/>
  <c r="AK298" i="10" s="1"/>
  <c r="AJ297" i="10"/>
  <c r="AK297" i="10" s="1"/>
  <c r="AJ296" i="10"/>
  <c r="AJ295" i="10"/>
  <c r="AK295" i="10" s="1"/>
  <c r="AJ294" i="10"/>
  <c r="AK294" i="10" s="1"/>
  <c r="AJ288" i="10"/>
  <c r="AK288" i="10" s="1"/>
  <c r="AJ289" i="10"/>
  <c r="AK289" i="10" s="1"/>
  <c r="AJ290" i="10"/>
  <c r="AK290" i="10" s="1"/>
  <c r="AJ291" i="10"/>
  <c r="AK291" i="10" s="1"/>
  <c r="AJ292" i="10"/>
  <c r="AK292" i="10" s="1"/>
  <c r="AJ287" i="10"/>
  <c r="AK287" i="10" s="1"/>
  <c r="AF286" i="10"/>
  <c r="AF281" i="10"/>
  <c r="AK284" i="10"/>
  <c r="AK283" i="10"/>
  <c r="AK282" i="10"/>
  <c r="AF275" i="10"/>
  <c r="AJ280" i="10"/>
  <c r="AK280" i="10" s="1"/>
  <c r="AJ279" i="10"/>
  <c r="AK279" i="10" s="1"/>
  <c r="AJ278" i="10"/>
  <c r="AJ277" i="10"/>
  <c r="AK277" i="10" s="1"/>
  <c r="AJ276" i="10"/>
  <c r="AK276" i="10" s="1"/>
  <c r="AJ274" i="10"/>
  <c r="AK274" i="10" s="1"/>
  <c r="AJ273" i="10"/>
  <c r="AK273" i="10" s="1"/>
  <c r="AJ272" i="10"/>
  <c r="AK272" i="10" s="1"/>
  <c r="AJ270" i="10"/>
  <c r="AK270" i="10" s="1"/>
  <c r="AJ269" i="10"/>
  <c r="AK269" i="10" s="1"/>
  <c r="AJ268" i="10"/>
  <c r="AK268" i="10" s="1"/>
  <c r="AF267" i="10"/>
  <c r="AJ265" i="10"/>
  <c r="AK265" i="10" s="1"/>
  <c r="AJ266" i="10"/>
  <c r="AK266" i="10" s="1"/>
  <c r="AJ264" i="10"/>
  <c r="AK264" i="10"/>
  <c r="AF263" i="10"/>
  <c r="AF258" i="10"/>
  <c r="AK262" i="10"/>
  <c r="AK261" i="10"/>
  <c r="AK260" i="10"/>
  <c r="AK259" i="10"/>
  <c r="AG42" i="10"/>
  <c r="AF253" i="10"/>
  <c r="AF249" i="10"/>
  <c r="AK257" i="10"/>
  <c r="AK256" i="10"/>
  <c r="AK255" i="10"/>
  <c r="AK254" i="10"/>
  <c r="AK199" i="10"/>
  <c r="AM250" i="10"/>
  <c r="AJ250" i="10"/>
  <c r="AK250" i="10" s="1"/>
  <c r="AJ252" i="10"/>
  <c r="AK252" i="10" s="1"/>
  <c r="AJ251" i="10"/>
  <c r="AK251" i="10" s="1"/>
  <c r="AF245" i="10"/>
  <c r="AJ248" i="10"/>
  <c r="AK248" i="10" s="1"/>
  <c r="AJ247" i="10"/>
  <c r="AK247" i="10" s="1"/>
  <c r="AJ246" i="10"/>
  <c r="AK246" i="10" s="1"/>
  <c r="AF225" i="10"/>
  <c r="AF239" i="10"/>
  <c r="AJ244" i="10"/>
  <c r="AK244" i="10" s="1"/>
  <c r="AJ243" i="10"/>
  <c r="AK243" i="10" s="1"/>
  <c r="AJ242" i="10"/>
  <c r="AK242" i="10" s="1"/>
  <c r="AJ241" i="10"/>
  <c r="AK241" i="10" s="1"/>
  <c r="AJ240" i="10"/>
  <c r="AK240" i="10" s="1"/>
  <c r="X47" i="10"/>
  <c r="Q47" i="10"/>
  <c r="J47" i="10"/>
  <c r="H47" i="10"/>
  <c r="F47" i="10"/>
  <c r="X46" i="10"/>
  <c r="Q46" i="10"/>
  <c r="J46" i="10"/>
  <c r="H46" i="10"/>
  <c r="F46" i="10"/>
  <c r="AJ238" i="10" l="1"/>
  <c r="AK238" i="10" s="1"/>
  <c r="AF233" i="10"/>
  <c r="AJ237" i="10"/>
  <c r="AK237" i="10" s="1"/>
  <c r="AJ236" i="10"/>
  <c r="AM236" i="10" s="1"/>
  <c r="AJ235" i="10"/>
  <c r="AK235" i="10" s="1"/>
  <c r="AJ234" i="10"/>
  <c r="AK234" i="10" s="1"/>
  <c r="AJ232" i="10"/>
  <c r="AK232" i="10" s="1"/>
  <c r="AJ231" i="10"/>
  <c r="AK231" i="10" s="1"/>
  <c r="AJ230" i="10"/>
  <c r="AK230" i="10" s="1"/>
  <c r="AJ229" i="10"/>
  <c r="AK229" i="10" s="1"/>
  <c r="AJ228" i="10"/>
  <c r="AK228" i="10" s="1"/>
  <c r="AJ227" i="10"/>
  <c r="AK227" i="10" s="1"/>
  <c r="AJ226" i="10"/>
  <c r="AK226" i="10" s="1"/>
  <c r="AF224" i="10"/>
  <c r="AF222" i="10"/>
  <c r="AF218" i="10"/>
  <c r="AF214" i="10"/>
  <c r="AJ221" i="10"/>
  <c r="AK221" i="10" s="1"/>
  <c r="AJ220" i="10"/>
  <c r="AK220" i="10" s="1"/>
  <c r="AJ219" i="10"/>
  <c r="AK219" i="10" s="1"/>
  <c r="AJ217" i="10"/>
  <c r="AK217" i="10" s="1"/>
  <c r="AJ216" i="10"/>
  <c r="AK216" i="10" s="1"/>
  <c r="AJ215" i="10"/>
  <c r="AK215" i="10" s="1"/>
  <c r="AJ213" i="10"/>
  <c r="AK213" i="10" s="1"/>
  <c r="AJ212" i="10"/>
  <c r="AK212" i="10" s="1"/>
  <c r="AK205" i="10"/>
  <c r="AK204" i="10"/>
  <c r="AK203" i="10"/>
  <c r="AK202" i="10"/>
  <c r="AK200" i="10"/>
  <c r="AK198" i="10"/>
  <c r="AK197" i="10"/>
  <c r="AK195" i="10"/>
  <c r="AK194" i="10"/>
  <c r="AK193" i="10"/>
  <c r="AK192" i="10"/>
  <c r="AJ211" i="10"/>
  <c r="AK211" i="10" s="1"/>
  <c r="AF210" i="10"/>
  <c r="AF206" i="10"/>
  <c r="AJ209" i="10"/>
  <c r="AK209" i="10" s="1"/>
  <c r="AJ208" i="10"/>
  <c r="AK208" i="10" s="1"/>
  <c r="AJ207" i="10"/>
  <c r="AK207" i="10" s="1"/>
  <c r="AF201" i="10"/>
  <c r="AF196" i="10"/>
  <c r="AF191" i="10"/>
  <c r="AF183" i="10"/>
  <c r="AF187" i="10"/>
  <c r="AJ190" i="10"/>
  <c r="AK190" i="10" s="1"/>
  <c r="AJ189" i="10"/>
  <c r="AK189" i="10" s="1"/>
  <c r="AJ188" i="10"/>
  <c r="AK188" i="10" s="1"/>
  <c r="AJ186" i="10"/>
  <c r="AK186" i="10" s="1"/>
  <c r="AJ185" i="10"/>
  <c r="AK185" i="10" s="1"/>
  <c r="AJ184" i="10"/>
  <c r="AK184" i="10" s="1"/>
  <c r="AF177" i="10"/>
  <c r="AJ181" i="10"/>
  <c r="AK181" i="10" s="1"/>
  <c r="AJ180" i="10"/>
  <c r="AK180" i="10" s="1"/>
  <c r="AJ179" i="10"/>
  <c r="AK179" i="10" s="1"/>
  <c r="AJ178" i="10"/>
  <c r="AK178" i="10" s="1"/>
  <c r="AF173" i="10"/>
  <c r="AJ176" i="10"/>
  <c r="AK176" i="10" s="1"/>
  <c r="AJ175" i="10"/>
  <c r="AK175" i="10" s="1"/>
  <c r="AJ174" i="10"/>
  <c r="AK174" i="10" s="1"/>
  <c r="AF169" i="10"/>
  <c r="AJ172" i="10"/>
  <c r="AK172" i="10" s="1"/>
  <c r="AJ171" i="10"/>
  <c r="AK171" i="10" s="1"/>
  <c r="AJ170" i="10"/>
  <c r="AK170" i="10" s="1"/>
  <c r="AJ168" i="10"/>
  <c r="AK168" i="10" s="1"/>
  <c r="AJ167" i="10"/>
  <c r="AK167" i="10" s="1"/>
  <c r="AJ166" i="10"/>
  <c r="AK166" i="10" s="1"/>
  <c r="AJ165" i="10"/>
  <c r="AK165" i="10" s="1"/>
  <c r="AF164" i="10"/>
  <c r="AF160" i="10"/>
  <c r="AJ163" i="10"/>
  <c r="AK163" i="10" s="1"/>
  <c r="AJ162" i="10"/>
  <c r="AK162" i="10" s="1"/>
  <c r="AJ161" i="10"/>
  <c r="AK161" i="10" s="1"/>
  <c r="AJ159" i="10"/>
  <c r="AJ158" i="10"/>
  <c r="AK158" i="10" s="1"/>
  <c r="AJ157" i="10"/>
  <c r="AK157" i="10" s="1"/>
  <c r="AJ156" i="10"/>
  <c r="AK156" i="10" s="1"/>
  <c r="AJ155" i="10"/>
  <c r="AK155" i="10" s="1"/>
  <c r="AJ154" i="10"/>
  <c r="AK154" i="10" s="1"/>
  <c r="AF153" i="10"/>
  <c r="AF148" i="10"/>
  <c r="AJ152" i="10"/>
  <c r="AK152" i="10" s="1"/>
  <c r="AJ151" i="10"/>
  <c r="AK151" i="10" s="1"/>
  <c r="AJ150" i="10"/>
  <c r="AK150" i="10" s="1"/>
  <c r="AJ149" i="10"/>
  <c r="AK149" i="10" s="1"/>
  <c r="AJ147" i="10"/>
  <c r="AK147" i="10" s="1"/>
  <c r="AJ146" i="10"/>
  <c r="AK146" i="10" s="1"/>
  <c r="AJ145" i="10"/>
  <c r="AK145" i="10" s="1"/>
  <c r="AJ144" i="10"/>
  <c r="AK144" i="10" s="1"/>
  <c r="AJ143" i="10"/>
  <c r="AK143" i="10" s="1"/>
  <c r="AF142" i="10"/>
  <c r="AF137" i="10"/>
  <c r="AK141" i="10"/>
  <c r="AK140" i="10"/>
  <c r="AK139" i="10"/>
  <c r="AK138" i="10"/>
  <c r="AF133" i="10"/>
  <c r="AJ132" i="10"/>
  <c r="AK132" i="10" s="1"/>
  <c r="AJ131" i="10"/>
  <c r="AK131" i="10" s="1"/>
  <c r="AJ130" i="10"/>
  <c r="AK130" i="10" s="1"/>
  <c r="AJ129" i="10"/>
  <c r="AK129" i="10" s="1"/>
  <c r="AF128" i="10"/>
  <c r="AJ127" i="10"/>
  <c r="AK127" i="10" s="1"/>
  <c r="AJ126" i="10"/>
  <c r="AK126" i="10" s="1"/>
  <c r="AJ125" i="10"/>
  <c r="AK125" i="10" s="1"/>
  <c r="AJ124" i="10"/>
  <c r="AK124" i="10" s="1"/>
  <c r="AF123" i="10"/>
  <c r="AF119" i="10"/>
  <c r="AJ122" i="10"/>
  <c r="AK122" i="10" s="1"/>
  <c r="AJ121" i="10"/>
  <c r="AK121" i="10" s="1"/>
  <c r="AJ120" i="10"/>
  <c r="AK120" i="10" s="1"/>
  <c r="AM118" i="10"/>
  <c r="AK118" i="10"/>
  <c r="AJ116" i="10"/>
  <c r="AK117" i="10"/>
  <c r="AF115" i="10"/>
  <c r="AF105" i="10"/>
  <c r="AF111" i="10"/>
  <c r="AF101" i="10"/>
  <c r="AJ107" i="10"/>
  <c r="AJ108" i="10"/>
  <c r="AJ109" i="10"/>
  <c r="AJ110" i="10"/>
  <c r="AJ106" i="10"/>
  <c r="AK106" i="10" s="1"/>
  <c r="AK104" i="10"/>
  <c r="AK103" i="10"/>
  <c r="AK102" i="10"/>
  <c r="AF97" i="10"/>
  <c r="AF93" i="10"/>
  <c r="AJ92" i="10"/>
  <c r="AJ91" i="10"/>
  <c r="AJ90" i="10"/>
  <c r="AF89" i="10"/>
  <c r="AF85" i="10"/>
  <c r="AF77" i="10"/>
  <c r="AG245" i="10"/>
  <c r="U122" i="4"/>
  <c r="U138" i="4"/>
  <c r="U126" i="4"/>
  <c r="U125" i="4"/>
  <c r="U123" i="4"/>
  <c r="AK100" i="10"/>
  <c r="AK99" i="10"/>
  <c r="AK98" i="10"/>
  <c r="AK96" i="10"/>
  <c r="AK95" i="10"/>
  <c r="AK94" i="10"/>
  <c r="V897" i="3"/>
  <c r="V867" i="3"/>
  <c r="V846" i="3"/>
  <c r="V827" i="3"/>
  <c r="C268" i="10"/>
  <c r="D821" i="3" s="1"/>
  <c r="C269" i="10"/>
  <c r="D824" i="3" s="1"/>
  <c r="C270" i="10"/>
  <c r="D827" i="3" s="1"/>
  <c r="D270" i="10"/>
  <c r="F270" i="10"/>
  <c r="H270" i="10"/>
  <c r="J270" i="10"/>
  <c r="Q270" i="10"/>
  <c r="X270" i="10"/>
  <c r="C271" i="10"/>
  <c r="D830" i="3" s="1"/>
  <c r="C272" i="10"/>
  <c r="D833" i="3" s="1"/>
  <c r="C273" i="10"/>
  <c r="D836" i="3" s="1"/>
  <c r="C275" i="10"/>
  <c r="I843" i="3" s="1"/>
  <c r="K275" i="10"/>
  <c r="Y275" i="10"/>
  <c r="C276" i="10"/>
  <c r="D846" i="3" s="1"/>
  <c r="D276" i="10"/>
  <c r="F276" i="10"/>
  <c r="H276" i="10"/>
  <c r="J276" i="10"/>
  <c r="Q276" i="10"/>
  <c r="X276" i="10"/>
  <c r="C277" i="10"/>
  <c r="D849" i="3" s="1"/>
  <c r="C278" i="10"/>
  <c r="D852" i="3" s="1"/>
  <c r="C279" i="10"/>
  <c r="D855" i="3" s="1"/>
  <c r="C280" i="10"/>
  <c r="D858" i="3" s="1"/>
  <c r="C281" i="10"/>
  <c r="D861" i="3" s="1"/>
  <c r="C282" i="10"/>
  <c r="D864" i="3" s="1"/>
  <c r="C283" i="10"/>
  <c r="D867" i="3" s="1"/>
  <c r="D283" i="10"/>
  <c r="F283" i="10"/>
  <c r="H283" i="10"/>
  <c r="J283" i="10"/>
  <c r="Q283" i="10"/>
  <c r="X283" i="10"/>
  <c r="C284" i="10"/>
  <c r="D870" i="3" s="1"/>
  <c r="C285" i="10"/>
  <c r="D873" i="3" s="1"/>
  <c r="C286" i="10"/>
  <c r="D876" i="3" s="1"/>
  <c r="C287" i="10"/>
  <c r="D879" i="3" s="1"/>
  <c r="C288" i="10"/>
  <c r="D882" i="3" s="1"/>
  <c r="C289" i="10"/>
  <c r="D885" i="3" s="1"/>
  <c r="H289" i="10"/>
  <c r="C290" i="10"/>
  <c r="D888" i="3" s="1"/>
  <c r="C291" i="10"/>
  <c r="D891" i="3" s="1"/>
  <c r="C292" i="10"/>
  <c r="D894" i="3" s="1"/>
  <c r="D293" i="10"/>
  <c r="F293" i="10"/>
  <c r="H293" i="10"/>
  <c r="J293" i="10"/>
  <c r="Q293" i="10"/>
  <c r="X293" i="10"/>
  <c r="C294" i="10"/>
  <c r="D900" i="3" s="1"/>
  <c r="C295" i="10"/>
  <c r="D903" i="3" s="1"/>
  <c r="C297" i="10"/>
  <c r="V809" i="3"/>
  <c r="V785" i="3"/>
  <c r="V773" i="3"/>
  <c r="V758" i="3"/>
  <c r="V743" i="3"/>
  <c r="V724" i="3"/>
  <c r="V694" i="3"/>
  <c r="C621" i="10"/>
  <c r="D713" i="3" s="1"/>
  <c r="C622" i="10"/>
  <c r="D725" i="3" s="1"/>
  <c r="C623" i="10"/>
  <c r="D744" i="3" s="1"/>
  <c r="C624" i="10"/>
  <c r="D783" i="3" s="1"/>
  <c r="C628" i="10"/>
  <c r="D28" i="9" s="1"/>
  <c r="V676" i="3"/>
  <c r="V636" i="3"/>
  <c r="V605" i="3"/>
  <c r="V593" i="3"/>
  <c r="V566" i="3"/>
  <c r="V544" i="3"/>
  <c r="V529" i="3"/>
  <c r="V505" i="3"/>
  <c r="Y487" i="3"/>
  <c r="Y488" i="3"/>
  <c r="V475" i="3"/>
  <c r="C158" i="10"/>
  <c r="D469" i="3" s="1"/>
  <c r="V463" i="3"/>
  <c r="V451" i="3"/>
  <c r="V436" i="3"/>
  <c r="V424" i="3"/>
  <c r="V403" i="3"/>
  <c r="V388" i="3"/>
  <c r="V370" i="3"/>
  <c r="C613" i="10"/>
  <c r="D437" i="3" s="1"/>
  <c r="C614" i="10"/>
  <c r="D461" i="3" s="1"/>
  <c r="C615" i="10"/>
  <c r="D476" i="3" s="1"/>
  <c r="C616" i="10"/>
  <c r="D506" i="3" s="1"/>
  <c r="C617" i="10"/>
  <c r="D530" i="3" s="1"/>
  <c r="C618" i="10"/>
  <c r="D567" i="3" s="1"/>
  <c r="C619" i="10"/>
  <c r="D653" i="3" s="1"/>
  <c r="C620" i="10"/>
  <c r="D677" i="3" s="1"/>
  <c r="V355" i="3"/>
  <c r="V336" i="3"/>
  <c r="V306" i="3"/>
  <c r="C612" i="10"/>
  <c r="D276" i="3" s="1"/>
  <c r="V275" i="3"/>
  <c r="V245" i="3"/>
  <c r="V202" i="3"/>
  <c r="C611" i="10"/>
  <c r="D170" i="3" s="1"/>
  <c r="C610" i="10"/>
  <c r="D136" i="1" s="1"/>
  <c r="V166" i="3"/>
  <c r="V797" i="3"/>
  <c r="V712" i="3"/>
  <c r="V617" i="3"/>
  <c r="V581" i="3"/>
  <c r="V517" i="3"/>
  <c r="V321" i="3"/>
  <c r="V287" i="3"/>
  <c r="V263" i="3"/>
  <c r="V190" i="3"/>
  <c r="V178" i="3"/>
  <c r="V153" i="3"/>
  <c r="D77" i="10"/>
  <c r="D81" i="10"/>
  <c r="V141" i="3"/>
  <c r="C608" i="10"/>
  <c r="C609" i="10"/>
  <c r="C607" i="10"/>
  <c r="D167" i="3" l="1"/>
  <c r="D92" i="1"/>
  <c r="D106" i="1"/>
  <c r="D145" i="3"/>
  <c r="AK116" i="10"/>
  <c r="AO116" i="10"/>
  <c r="AK110" i="10"/>
  <c r="AO110" i="10"/>
  <c r="AK109" i="10"/>
  <c r="AO109" i="10"/>
  <c r="AK108" i="10"/>
  <c r="AO108" i="10"/>
  <c r="AK91" i="10"/>
  <c r="AO91" i="10"/>
  <c r="AK90" i="10"/>
  <c r="AO90" i="10"/>
  <c r="AK107" i="10"/>
  <c r="AO107" i="10"/>
  <c r="AK92" i="10"/>
  <c r="AO92" i="10"/>
  <c r="U129" i="4"/>
  <c r="AG77" i="10"/>
  <c r="U119" i="4"/>
  <c r="U120" i="4"/>
  <c r="U121" i="4"/>
  <c r="U136" i="4"/>
  <c r="AG128" i="10"/>
  <c r="AG187" i="10"/>
  <c r="AG89" i="10"/>
  <c r="AG119" i="10"/>
  <c r="AG173" i="10"/>
  <c r="AG101" i="10"/>
  <c r="AG97" i="10"/>
  <c r="AG111" i="10"/>
  <c r="AG218" i="10"/>
  <c r="AG206" i="10"/>
  <c r="AG85" i="10"/>
  <c r="AG160" i="10"/>
  <c r="D356" i="3"/>
  <c r="X289" i="10"/>
  <c r="D289" i="10"/>
  <c r="F289" i="10"/>
  <c r="J289" i="10"/>
  <c r="Q289" i="10"/>
  <c r="V885" i="3"/>
  <c r="V214" i="3"/>
  <c r="V226" i="3"/>
  <c r="D38" i="10"/>
  <c r="D78" i="3"/>
  <c r="S2" i="3"/>
  <c r="V2" i="3"/>
  <c r="V3" i="8" l="1"/>
  <c r="V2" i="8"/>
  <c r="C606" i="10"/>
  <c r="C605" i="10"/>
  <c r="C604" i="10"/>
  <c r="C603" i="10"/>
  <c r="C602" i="10"/>
  <c r="C601" i="10"/>
  <c r="C600" i="10"/>
  <c r="C599" i="10"/>
  <c r="C598" i="10"/>
  <c r="C597" i="10"/>
  <c r="C596" i="10"/>
  <c r="C595" i="10"/>
  <c r="C594" i="10"/>
  <c r="E332" i="10" l="1"/>
  <c r="D260" i="10" l="1"/>
  <c r="H260" i="10"/>
  <c r="Q260" i="10"/>
  <c r="X260" i="10"/>
  <c r="X233" i="10"/>
  <c r="Q233" i="10"/>
  <c r="J233" i="10"/>
  <c r="H233" i="10"/>
  <c r="F233" i="10"/>
  <c r="F260" i="10"/>
  <c r="D233" i="10"/>
  <c r="J264" i="10"/>
  <c r="J252" i="10"/>
  <c r="J247" i="10"/>
  <c r="J242" i="10"/>
  <c r="J237" i="10"/>
  <c r="J227" i="10"/>
  <c r="J221" i="10"/>
  <c r="J213" i="10"/>
  <c r="Q264" i="10"/>
  <c r="Q252" i="10"/>
  <c r="Q247" i="10"/>
  <c r="Q242" i="10"/>
  <c r="Q237" i="10"/>
  <c r="Q227" i="10"/>
  <c r="Q221" i="10"/>
  <c r="Q213" i="10"/>
  <c r="X264" i="10"/>
  <c r="X252" i="10"/>
  <c r="X247" i="10"/>
  <c r="X242" i="10"/>
  <c r="X237" i="10"/>
  <c r="X227" i="10"/>
  <c r="X221" i="10"/>
  <c r="X213" i="10"/>
  <c r="H264" i="10"/>
  <c r="H252" i="10"/>
  <c r="H247" i="10"/>
  <c r="H242" i="10"/>
  <c r="H237" i="10"/>
  <c r="H227" i="10"/>
  <c r="H221" i="10"/>
  <c r="H213" i="10"/>
  <c r="F264" i="10"/>
  <c r="F252" i="10"/>
  <c r="F247" i="10"/>
  <c r="F242" i="10"/>
  <c r="F237" i="10"/>
  <c r="F227" i="10"/>
  <c r="F221" i="10"/>
  <c r="F213" i="10"/>
  <c r="D264" i="10"/>
  <c r="D252" i="10"/>
  <c r="D247" i="10"/>
  <c r="D242" i="10"/>
  <c r="D237" i="10"/>
  <c r="C222" i="10"/>
  <c r="C224" i="10"/>
  <c r="D685" i="3" s="1"/>
  <c r="C225" i="10"/>
  <c r="D688" i="3" s="1"/>
  <c r="C226" i="10"/>
  <c r="D691" i="3" s="1"/>
  <c r="D227" i="10"/>
  <c r="D221" i="10"/>
  <c r="C218" i="10"/>
  <c r="D667" i="3" s="1"/>
  <c r="D213" i="10"/>
  <c r="X209" i="10"/>
  <c r="Q209" i="10"/>
  <c r="J209" i="10"/>
  <c r="H209" i="10"/>
  <c r="F209" i="10"/>
  <c r="D209" i="10"/>
  <c r="X200" i="10"/>
  <c r="Q200" i="10"/>
  <c r="J200" i="10"/>
  <c r="H200" i="10"/>
  <c r="F200" i="10"/>
  <c r="H204" i="10"/>
  <c r="F204" i="10"/>
  <c r="AO122" i="10" l="1"/>
  <c r="K329" i="10"/>
  <c r="AO222" i="10"/>
  <c r="AQ222" i="10" s="1"/>
  <c r="AS222" i="10" s="1"/>
  <c r="X196" i="10"/>
  <c r="Q196" i="10"/>
  <c r="J196" i="10"/>
  <c r="H196" i="10"/>
  <c r="F196" i="10"/>
  <c r="D196" i="10"/>
  <c r="X204" i="10"/>
  <c r="X192" i="10"/>
  <c r="X187" i="10"/>
  <c r="Q204" i="10"/>
  <c r="Q192" i="10"/>
  <c r="Q187" i="10"/>
  <c r="J204" i="10"/>
  <c r="J192" i="10"/>
  <c r="J187" i="10"/>
  <c r="H192" i="10"/>
  <c r="H187" i="10"/>
  <c r="F192" i="10"/>
  <c r="F187" i="10"/>
  <c r="D204" i="10"/>
  <c r="D200" i="10"/>
  <c r="D192" i="10"/>
  <c r="D187" i="10"/>
  <c r="X181" i="10"/>
  <c r="Q181" i="10"/>
  <c r="J181" i="10"/>
  <c r="H181" i="10"/>
  <c r="F181" i="10"/>
  <c r="D181" i="10"/>
  <c r="X176" i="10"/>
  <c r="Q176" i="10"/>
  <c r="J176" i="10"/>
  <c r="H176" i="10"/>
  <c r="F176" i="10"/>
  <c r="D176" i="10"/>
  <c r="X172" i="10"/>
  <c r="Q172" i="10"/>
  <c r="J172" i="10"/>
  <c r="H172" i="10"/>
  <c r="F172" i="10"/>
  <c r="D172" i="10"/>
  <c r="X168" i="10"/>
  <c r="Q168" i="10"/>
  <c r="J168" i="10"/>
  <c r="H168" i="10"/>
  <c r="F168" i="10"/>
  <c r="D168" i="10"/>
  <c r="K241" i="10"/>
  <c r="C241" i="10"/>
  <c r="I740" i="3" s="1"/>
  <c r="C237" i="10"/>
  <c r="D724" i="3" s="1"/>
  <c r="Y212" i="10"/>
  <c r="Y211" i="10"/>
  <c r="C213" i="10"/>
  <c r="D652" i="3" s="1"/>
  <c r="R212" i="10"/>
  <c r="K212" i="10"/>
  <c r="C212" i="10"/>
  <c r="I649" i="3" s="1"/>
  <c r="R211" i="10"/>
  <c r="K211" i="10"/>
  <c r="C211" i="10"/>
  <c r="I643" i="3" s="1"/>
  <c r="K208" i="10"/>
  <c r="C208" i="10"/>
  <c r="I633" i="3" s="1"/>
  <c r="C202" i="10"/>
  <c r="D611" i="3" s="1"/>
  <c r="C199" i="10"/>
  <c r="D602" i="3" s="1"/>
  <c r="C200" i="10"/>
  <c r="K186" i="10"/>
  <c r="Y167" i="10"/>
  <c r="R167" i="10"/>
  <c r="K167" i="10"/>
  <c r="C180" i="10"/>
  <c r="D541" i="3" s="1"/>
  <c r="C179" i="10"/>
  <c r="D538" i="3" s="1"/>
  <c r="C178" i="10"/>
  <c r="D535" i="3" s="1"/>
  <c r="C177" i="10"/>
  <c r="D532" i="3" s="1"/>
  <c r="C176" i="10"/>
  <c r="D529" i="3" s="1"/>
  <c r="X160" i="10"/>
  <c r="Q160" i="10"/>
  <c r="J160" i="10"/>
  <c r="H160" i="10"/>
  <c r="F160" i="10"/>
  <c r="X152" i="10"/>
  <c r="Q152" i="10"/>
  <c r="J152" i="10"/>
  <c r="H152" i="10"/>
  <c r="F152" i="10"/>
  <c r="D152" i="10"/>
  <c r="X156" i="10"/>
  <c r="Q156" i="10"/>
  <c r="J156" i="10"/>
  <c r="H156" i="10"/>
  <c r="F156" i="10"/>
  <c r="D160" i="10"/>
  <c r="D156" i="10"/>
  <c r="X147" i="10"/>
  <c r="Q147" i="10"/>
  <c r="J147" i="10"/>
  <c r="H147" i="10"/>
  <c r="F147" i="10"/>
  <c r="D147" i="10"/>
  <c r="C150" i="10"/>
  <c r="D445" i="3" s="1"/>
  <c r="C149" i="10"/>
  <c r="D442" i="3" s="1"/>
  <c r="C167" i="10"/>
  <c r="I502" i="3" s="1"/>
  <c r="K166" i="10"/>
  <c r="C166" i="10"/>
  <c r="I495" i="3" s="1"/>
  <c r="C175" i="10"/>
  <c r="D526" i="3" s="1"/>
  <c r="C174" i="10"/>
  <c r="D523" i="3" s="1"/>
  <c r="X143" i="10"/>
  <c r="Q143" i="10"/>
  <c r="J143" i="10"/>
  <c r="H143" i="10"/>
  <c r="F143" i="10"/>
  <c r="D143" i="10"/>
  <c r="D321" i="3"/>
  <c r="J136" i="10"/>
  <c r="Q136" i="10"/>
  <c r="X136" i="10"/>
  <c r="D136" i="10"/>
  <c r="F136" i="10"/>
  <c r="H136" i="10"/>
  <c r="X131" i="10"/>
  <c r="Q131" i="10"/>
  <c r="J131" i="10"/>
  <c r="H131" i="10"/>
  <c r="D131" i="10"/>
  <c r="F131" i="10"/>
  <c r="E116" i="10"/>
  <c r="C116" i="10" s="1"/>
  <c r="X125" i="10"/>
  <c r="Q125" i="10"/>
  <c r="J125" i="10"/>
  <c r="H125" i="10"/>
  <c r="D125" i="10"/>
  <c r="F125" i="10"/>
  <c r="X120" i="10"/>
  <c r="Q120" i="10"/>
  <c r="J120" i="10"/>
  <c r="H120" i="10"/>
  <c r="F120" i="10"/>
  <c r="D120" i="10"/>
  <c r="R104" i="10"/>
  <c r="K119" i="10"/>
  <c r="I352" i="3"/>
  <c r="X115" i="10"/>
  <c r="Q115" i="10"/>
  <c r="J115" i="10"/>
  <c r="H115" i="10"/>
  <c r="F115" i="10"/>
  <c r="D115" i="10"/>
  <c r="H110" i="10"/>
  <c r="F110" i="10"/>
  <c r="X110" i="10"/>
  <c r="Q110" i="10"/>
  <c r="J110" i="10"/>
  <c r="D110" i="10"/>
  <c r="Y104" i="10"/>
  <c r="K104" i="10"/>
  <c r="X105" i="10"/>
  <c r="Q105" i="10"/>
  <c r="J105" i="10"/>
  <c r="F105" i="10"/>
  <c r="H105" i="10"/>
  <c r="D105" i="10"/>
  <c r="X100" i="10"/>
  <c r="Q100" i="10"/>
  <c r="J100" i="10"/>
  <c r="H100" i="10"/>
  <c r="F100" i="10"/>
  <c r="D100" i="10"/>
  <c r="X96" i="10"/>
  <c r="Q96" i="10"/>
  <c r="J96" i="10"/>
  <c r="H96" i="10"/>
  <c r="F96" i="10"/>
  <c r="D96" i="10"/>
  <c r="D92" i="10"/>
  <c r="X92" i="10"/>
  <c r="Q92" i="10"/>
  <c r="J92" i="10"/>
  <c r="H92" i="10"/>
  <c r="F92" i="10"/>
  <c r="Q86" i="10"/>
  <c r="J86" i="10"/>
  <c r="H86" i="10"/>
  <c r="F86" i="10"/>
  <c r="D86" i="10"/>
  <c r="R85" i="10"/>
  <c r="Y85" i="10"/>
  <c r="Y52" i="10"/>
  <c r="R51" i="10"/>
  <c r="K85" i="10"/>
  <c r="I242" i="3"/>
  <c r="F81" i="10"/>
  <c r="H81" i="10"/>
  <c r="X81" i="10"/>
  <c r="Q81" i="10"/>
  <c r="J81" i="10"/>
  <c r="D235" i="3"/>
  <c r="D232" i="3"/>
  <c r="D229" i="3"/>
  <c r="D226" i="3"/>
  <c r="D223" i="3"/>
  <c r="D220" i="3"/>
  <c r="D217" i="3"/>
  <c r="D214" i="3"/>
  <c r="X77" i="10"/>
  <c r="Q77" i="10"/>
  <c r="J77" i="10"/>
  <c r="H77" i="10"/>
  <c r="F77" i="10"/>
  <c r="D73" i="10"/>
  <c r="F73" i="10"/>
  <c r="H73" i="10"/>
  <c r="J73" i="10"/>
  <c r="Q73" i="10"/>
  <c r="X73" i="10"/>
  <c r="F69" i="10"/>
  <c r="H69" i="10"/>
  <c r="J69" i="10"/>
  <c r="Q69" i="10"/>
  <c r="X69" i="10"/>
  <c r="X65" i="10"/>
  <c r="Q65" i="10"/>
  <c r="J65" i="10"/>
  <c r="H65" i="10"/>
  <c r="F65" i="10"/>
  <c r="D65" i="10"/>
  <c r="D178" i="3"/>
  <c r="D181" i="3"/>
  <c r="J61" i="10"/>
  <c r="Q61" i="10"/>
  <c r="X61" i="10"/>
  <c r="H61" i="10"/>
  <c r="F61" i="10"/>
  <c r="D61" i="10"/>
  <c r="X57" i="10"/>
  <c r="Q57" i="10"/>
  <c r="J57" i="10"/>
  <c r="H57" i="10"/>
  <c r="D46" i="10"/>
  <c r="H53" i="10"/>
  <c r="D53" i="10"/>
  <c r="X37" i="10"/>
  <c r="X36" i="10"/>
  <c r="X35" i="10"/>
  <c r="X34" i="10"/>
  <c r="X33" i="10"/>
  <c r="X32" i="10"/>
  <c r="X30" i="10"/>
  <c r="R44" i="10"/>
  <c r="Q37" i="10"/>
  <c r="Q36" i="10"/>
  <c r="Q35" i="10"/>
  <c r="Q34" i="10"/>
  <c r="Q33" i="10"/>
  <c r="Q32" i="10"/>
  <c r="Q30" i="10"/>
  <c r="J33" i="10"/>
  <c r="J34" i="10"/>
  <c r="J35" i="10"/>
  <c r="J36" i="10"/>
  <c r="J37" i="10"/>
  <c r="J32" i="10"/>
  <c r="J30" i="10"/>
  <c r="Y44" i="10"/>
  <c r="Y29" i="10"/>
  <c r="H37" i="10"/>
  <c r="H36" i="10"/>
  <c r="H35" i="10"/>
  <c r="H34" i="10"/>
  <c r="H33" i="10"/>
  <c r="H32" i="10"/>
  <c r="H30" i="10"/>
  <c r="F37" i="10"/>
  <c r="F36" i="10"/>
  <c r="F35" i="10"/>
  <c r="F34" i="10"/>
  <c r="F33" i="10"/>
  <c r="F32" i="10"/>
  <c r="F30" i="10"/>
  <c r="D30" i="10"/>
  <c r="D33" i="10"/>
  <c r="D34" i="10"/>
  <c r="D35" i="10"/>
  <c r="D36" i="10"/>
  <c r="D37" i="10"/>
  <c r="D32" i="10"/>
  <c r="D605" i="3" l="1"/>
  <c r="D321" i="1"/>
  <c r="BI222" i="10"/>
  <c r="BH222" i="10"/>
  <c r="BF222" i="10"/>
  <c r="BE222" i="10"/>
  <c r="BG222" i="10"/>
  <c r="BD222" i="10"/>
  <c r="BC222" i="10"/>
  <c r="X337" i="10"/>
  <c r="X348" i="10"/>
  <c r="W348" i="10"/>
  <c r="K348" i="10"/>
  <c r="W337" i="10"/>
  <c r="Y348" i="10"/>
  <c r="Y337" i="10"/>
  <c r="B23" i="3"/>
  <c r="AT222" i="10"/>
  <c r="Q323" i="10" s="1"/>
  <c r="K349" i="10" s="1"/>
  <c r="AS44" i="10"/>
  <c r="Y5" i="10"/>
  <c r="X53" i="10"/>
  <c r="C159" i="10"/>
  <c r="D472" i="3" s="1"/>
  <c r="C250" i="10"/>
  <c r="D767" i="3" s="1"/>
  <c r="C589" i="10"/>
  <c r="O395" i="4" s="1"/>
  <c r="C588" i="10"/>
  <c r="O391" i="4" s="1"/>
  <c r="C587" i="10"/>
  <c r="C586" i="10"/>
  <c r="C585" i="10"/>
  <c r="C584" i="10"/>
  <c r="C583" i="10"/>
  <c r="C582" i="10"/>
  <c r="C581" i="10"/>
  <c r="C580" i="10"/>
  <c r="C577" i="10"/>
  <c r="C576" i="10"/>
  <c r="C575" i="10"/>
  <c r="C574" i="10"/>
  <c r="O386" i="4" s="1"/>
  <c r="C567" i="10"/>
  <c r="C566" i="10"/>
  <c r="C565" i="10"/>
  <c r="C564" i="10"/>
  <c r="C563" i="10"/>
  <c r="C562" i="10"/>
  <c r="C561" i="10"/>
  <c r="C560" i="10"/>
  <c r="C559" i="10"/>
  <c r="C558" i="10"/>
  <c r="C557" i="10"/>
  <c r="C556" i="10"/>
  <c r="C554" i="10"/>
  <c r="C553" i="10"/>
  <c r="C550" i="10"/>
  <c r="C549" i="10"/>
  <c r="C548" i="10"/>
  <c r="C547" i="10"/>
  <c r="C546" i="10"/>
  <c r="C545" i="10"/>
  <c r="C544" i="10"/>
  <c r="C542" i="10"/>
  <c r="C541" i="10"/>
  <c r="C540" i="10"/>
  <c r="C539" i="10"/>
  <c r="C538" i="10"/>
  <c r="C537" i="10"/>
  <c r="C535" i="10"/>
  <c r="C534" i="10"/>
  <c r="C533" i="10"/>
  <c r="C531" i="10"/>
  <c r="C530" i="10"/>
  <c r="D125" i="9" s="1"/>
  <c r="C529" i="10"/>
  <c r="C527" i="10"/>
  <c r="C525" i="10"/>
  <c r="C524" i="10"/>
  <c r="C523" i="10"/>
  <c r="C522" i="10"/>
  <c r="C521" i="10"/>
  <c r="C520" i="10"/>
  <c r="C519" i="10"/>
  <c r="C518" i="10"/>
  <c r="C517" i="10"/>
  <c r="C516" i="10"/>
  <c r="C515" i="10"/>
  <c r="C514" i="10"/>
  <c r="C513" i="10"/>
  <c r="C512" i="10"/>
  <c r="C504" i="10"/>
  <c r="C503" i="10"/>
  <c r="C502" i="10"/>
  <c r="C501" i="10"/>
  <c r="C500" i="10"/>
  <c r="C499" i="10"/>
  <c r="C498" i="10"/>
  <c r="C497" i="10"/>
  <c r="C496" i="10"/>
  <c r="C495" i="10"/>
  <c r="C494" i="10"/>
  <c r="C493" i="10"/>
  <c r="C492" i="10"/>
  <c r="C491" i="10"/>
  <c r="C490" i="10"/>
  <c r="C489" i="10"/>
  <c r="C488" i="10"/>
  <c r="C487" i="10"/>
  <c r="C486" i="10"/>
  <c r="C485" i="10"/>
  <c r="C484" i="10"/>
  <c r="C483" i="10"/>
  <c r="C482" i="10"/>
  <c r="C481" i="10"/>
  <c r="C480" i="10"/>
  <c r="C479" i="10"/>
  <c r="C478" i="10"/>
  <c r="C477" i="10"/>
  <c r="C476" i="10"/>
  <c r="C475" i="10"/>
  <c r="C473" i="10"/>
  <c r="C472" i="10"/>
  <c r="C471" i="10"/>
  <c r="D90" i="9" s="1"/>
  <c r="C470" i="10"/>
  <c r="C469" i="10"/>
  <c r="E76" i="9" s="1"/>
  <c r="C468" i="10"/>
  <c r="C467" i="10"/>
  <c r="C466" i="10"/>
  <c r="C465" i="10"/>
  <c r="C464" i="10"/>
  <c r="C462" i="10"/>
  <c r="C461" i="10"/>
  <c r="C460" i="10"/>
  <c r="C459" i="10"/>
  <c r="C458" i="10"/>
  <c r="C457" i="10"/>
  <c r="C456" i="10"/>
  <c r="C455" i="10"/>
  <c r="C454" i="10"/>
  <c r="C453" i="10"/>
  <c r="C452" i="10"/>
  <c r="C451" i="10"/>
  <c r="C450" i="10"/>
  <c r="C449" i="10"/>
  <c r="C448" i="10"/>
  <c r="C447" i="10"/>
  <c r="C446" i="10"/>
  <c r="C445" i="10"/>
  <c r="C444" i="10"/>
  <c r="C443" i="10"/>
  <c r="C442" i="10"/>
  <c r="C441" i="10"/>
  <c r="C439" i="10"/>
  <c r="C438" i="10"/>
  <c r="C437" i="10"/>
  <c r="E8" i="9" s="1"/>
  <c r="C436" i="10"/>
  <c r="C435" i="10"/>
  <c r="C432" i="10"/>
  <c r="C431" i="10"/>
  <c r="C430" i="10"/>
  <c r="C429" i="10"/>
  <c r="C427" i="10"/>
  <c r="C426" i="10"/>
  <c r="C425" i="10"/>
  <c r="C423" i="10"/>
  <c r="S327" i="1" s="1"/>
  <c r="C420" i="10"/>
  <c r="C419" i="10"/>
  <c r="V323" i="1" s="1"/>
  <c r="C418" i="10"/>
  <c r="C417" i="10"/>
  <c r="C416" i="10"/>
  <c r="C415" i="10"/>
  <c r="C414" i="10"/>
  <c r="C412" i="10"/>
  <c r="D301" i="1" s="1"/>
  <c r="C411" i="10"/>
  <c r="C409" i="10"/>
  <c r="Y248" i="1" s="1"/>
  <c r="C408" i="10"/>
  <c r="C407" i="10"/>
  <c r="C406" i="10"/>
  <c r="C405" i="10"/>
  <c r="C404" i="10"/>
  <c r="C402" i="10"/>
  <c r="D238" i="1" s="1"/>
  <c r="C400" i="10"/>
  <c r="C397" i="10"/>
  <c r="C396" i="10"/>
  <c r="C395" i="10"/>
  <c r="C394" i="10"/>
  <c r="D210" i="1" s="1"/>
  <c r="C387" i="10"/>
  <c r="D199" i="1" s="1"/>
  <c r="C385" i="10"/>
  <c r="C384" i="10"/>
  <c r="C379" i="10"/>
  <c r="C378" i="10"/>
  <c r="C375" i="10"/>
  <c r="J167" i="1" s="1"/>
  <c r="C374" i="10"/>
  <c r="C373" i="10"/>
  <c r="C371" i="10"/>
  <c r="C370" i="10"/>
  <c r="C369" i="10"/>
  <c r="C368" i="10"/>
  <c r="C367" i="10"/>
  <c r="C365" i="10"/>
  <c r="C364" i="10"/>
  <c r="C363" i="10"/>
  <c r="C361" i="10"/>
  <c r="C360" i="10"/>
  <c r="C359" i="10"/>
  <c r="C358" i="10"/>
  <c r="C356" i="10"/>
  <c r="C355" i="10"/>
  <c r="C354" i="10"/>
  <c r="C352" i="10"/>
  <c r="C351" i="10"/>
  <c r="C350" i="10"/>
  <c r="C349" i="10"/>
  <c r="C348" i="10"/>
  <c r="C347" i="10"/>
  <c r="C345" i="10"/>
  <c r="C344" i="10"/>
  <c r="XFD75" i="1" s="1"/>
  <c r="C343" i="10"/>
  <c r="V76" i="1" s="1"/>
  <c r="C342" i="10"/>
  <c r="C341" i="10"/>
  <c r="C339" i="10"/>
  <c r="C338" i="10"/>
  <c r="C337" i="10"/>
  <c r="C335" i="10"/>
  <c r="C334" i="10"/>
  <c r="C333" i="10"/>
  <c r="C331" i="10"/>
  <c r="C330" i="10"/>
  <c r="C329" i="10"/>
  <c r="C328" i="10"/>
  <c r="C327" i="10"/>
  <c r="C324" i="10"/>
  <c r="C323" i="10"/>
  <c r="C322" i="10"/>
  <c r="C321" i="10"/>
  <c r="C320" i="10"/>
  <c r="D5" i="4" s="1"/>
  <c r="C319" i="10"/>
  <c r="C318" i="10"/>
  <c r="C317" i="10"/>
  <c r="C316" i="10"/>
  <c r="K2" i="4" s="1"/>
  <c r="C315" i="10"/>
  <c r="C314" i="10"/>
  <c r="D2" i="4" s="1"/>
  <c r="C313" i="10"/>
  <c r="G2" i="4" s="1"/>
  <c r="C267" i="10"/>
  <c r="D818" i="3" s="1"/>
  <c r="C266" i="10"/>
  <c r="D815" i="3" s="1"/>
  <c r="C265" i="10"/>
  <c r="D812" i="3" s="1"/>
  <c r="C260" i="10"/>
  <c r="D797" i="3" s="1"/>
  <c r="C259" i="10"/>
  <c r="D794" i="3" s="1"/>
  <c r="C258" i="10"/>
  <c r="D791" i="3" s="1"/>
  <c r="C257" i="10"/>
  <c r="D788" i="3" s="1"/>
  <c r="C256" i="10"/>
  <c r="D785" i="3" s="1"/>
  <c r="C255" i="10"/>
  <c r="D782" i="3" s="1"/>
  <c r="C254" i="10"/>
  <c r="D779" i="3" s="1"/>
  <c r="C253" i="10"/>
  <c r="D776" i="3" s="1"/>
  <c r="C252" i="10"/>
  <c r="D773" i="3" s="1"/>
  <c r="C251" i="10"/>
  <c r="D770" i="3" s="1"/>
  <c r="C249" i="10"/>
  <c r="D764" i="3" s="1"/>
  <c r="C248" i="10"/>
  <c r="D761" i="3" s="1"/>
  <c r="C247" i="10"/>
  <c r="D758" i="3" s="1"/>
  <c r="C246" i="10"/>
  <c r="D755" i="3" s="1"/>
  <c r="C245" i="10"/>
  <c r="D752" i="3" s="1"/>
  <c r="C244" i="10"/>
  <c r="D749" i="3" s="1"/>
  <c r="C243" i="10"/>
  <c r="D746" i="3" s="1"/>
  <c r="C232" i="10"/>
  <c r="D709" i="3" s="1"/>
  <c r="C231" i="10"/>
  <c r="D706" i="3" s="1"/>
  <c r="C230" i="10"/>
  <c r="D703" i="3" s="1"/>
  <c r="C229" i="10"/>
  <c r="D700" i="3" s="1"/>
  <c r="C227" i="10"/>
  <c r="D694" i="3" s="1"/>
  <c r="C219" i="10"/>
  <c r="D670" i="3" s="1"/>
  <c r="C207" i="10"/>
  <c r="C205" i="10"/>
  <c r="C204" i="10"/>
  <c r="D325" i="1" s="1"/>
  <c r="C198" i="10"/>
  <c r="D599" i="3" s="1"/>
  <c r="C195" i="10"/>
  <c r="D590" i="3" s="1"/>
  <c r="C189" i="10"/>
  <c r="D572" i="3" s="1"/>
  <c r="C188" i="10"/>
  <c r="D569" i="3" s="1"/>
  <c r="C187" i="10"/>
  <c r="D566" i="3" s="1"/>
  <c r="C186" i="10"/>
  <c r="I563" i="3" s="1"/>
  <c r="C185" i="10"/>
  <c r="D556" i="3" s="1"/>
  <c r="C181" i="10"/>
  <c r="D544" i="3" s="1"/>
  <c r="C173" i="10"/>
  <c r="D520" i="3" s="1"/>
  <c r="C172" i="10"/>
  <c r="D517" i="3" s="1"/>
  <c r="C171" i="10"/>
  <c r="D514" i="3" s="1"/>
  <c r="C264" i="10"/>
  <c r="D809" i="3" s="1"/>
  <c r="C263" i="10"/>
  <c r="D806" i="3" s="1"/>
  <c r="C262" i="10"/>
  <c r="D803" i="3" s="1"/>
  <c r="C261" i="10"/>
  <c r="D800" i="3" s="1"/>
  <c r="C236" i="10"/>
  <c r="D721" i="3" s="1"/>
  <c r="C235" i="10"/>
  <c r="D718" i="3" s="1"/>
  <c r="C234" i="10"/>
  <c r="D715" i="3" s="1"/>
  <c r="C233" i="10"/>
  <c r="D712" i="3" s="1"/>
  <c r="C194" i="10"/>
  <c r="D587" i="3" s="1"/>
  <c r="C193" i="10"/>
  <c r="D584" i="3" s="1"/>
  <c r="C192" i="10"/>
  <c r="D581" i="3" s="1"/>
  <c r="C168" i="10"/>
  <c r="D505" i="3" s="1"/>
  <c r="I303" i="3"/>
  <c r="D296" i="3"/>
  <c r="D293" i="3"/>
  <c r="D290" i="3"/>
  <c r="D287" i="3"/>
  <c r="D193" i="3"/>
  <c r="D190" i="3"/>
  <c r="D187" i="3"/>
  <c r="D184" i="3"/>
  <c r="D153" i="3"/>
  <c r="C156" i="10"/>
  <c r="D463" i="3" s="1"/>
  <c r="C155" i="10"/>
  <c r="D460" i="3" s="1"/>
  <c r="C154" i="10"/>
  <c r="D457" i="3" s="1"/>
  <c r="C153" i="10"/>
  <c r="D454" i="3" s="1"/>
  <c r="C148" i="10"/>
  <c r="D439" i="3" s="1"/>
  <c r="C147" i="10"/>
  <c r="D436" i="3" s="1"/>
  <c r="C145" i="10"/>
  <c r="D430" i="3" s="1"/>
  <c r="C143" i="10"/>
  <c r="D424" i="3" s="1"/>
  <c r="C142" i="10"/>
  <c r="D421" i="3" s="1"/>
  <c r="C140" i="10"/>
  <c r="D415" i="3" s="1"/>
  <c r="C139" i="10"/>
  <c r="D412" i="3" s="1"/>
  <c r="C138" i="10"/>
  <c r="D409" i="3" s="1"/>
  <c r="C137" i="10"/>
  <c r="D406" i="3" s="1"/>
  <c r="C135" i="10"/>
  <c r="D400" i="3" s="1"/>
  <c r="C134" i="10"/>
  <c r="D397" i="3" s="1"/>
  <c r="C133" i="10"/>
  <c r="D394" i="3" s="1"/>
  <c r="C132" i="10"/>
  <c r="D391" i="3" s="1"/>
  <c r="C130" i="10"/>
  <c r="D385" i="3" s="1"/>
  <c r="C129" i="10"/>
  <c r="D382" i="3" s="1"/>
  <c r="C127" i="10"/>
  <c r="D376" i="3" s="1"/>
  <c r="C126" i="10"/>
  <c r="D373" i="3" s="1"/>
  <c r="C125" i="10"/>
  <c r="D370" i="3" s="1"/>
  <c r="D339" i="3"/>
  <c r="D336" i="3"/>
  <c r="D327" i="3"/>
  <c r="D318" i="3"/>
  <c r="D275" i="3"/>
  <c r="D199" i="3"/>
  <c r="D77" i="3"/>
  <c r="C552" i="10"/>
  <c r="C543" i="10"/>
  <c r="C536" i="10"/>
  <c r="C532" i="10"/>
  <c r="C526" i="10"/>
  <c r="C511" i="10"/>
  <c r="C474" i="10"/>
  <c r="C463" i="10"/>
  <c r="C440" i="10"/>
  <c r="C434" i="10"/>
  <c r="C428" i="10"/>
  <c r="C424" i="10"/>
  <c r="C413" i="10"/>
  <c r="C410" i="10"/>
  <c r="C403" i="10"/>
  <c r="B370" i="4" s="1"/>
  <c r="C399" i="10"/>
  <c r="C393" i="10"/>
  <c r="C383" i="10"/>
  <c r="C372" i="10"/>
  <c r="C362" i="10"/>
  <c r="C357" i="10"/>
  <c r="C353" i="10"/>
  <c r="C346" i="10"/>
  <c r="C340" i="10"/>
  <c r="C336" i="10"/>
  <c r="C332" i="10"/>
  <c r="C326" i="10"/>
  <c r="C242" i="10"/>
  <c r="D743" i="3" s="1"/>
  <c r="D263" i="3"/>
  <c r="D166" i="3"/>
  <c r="G13" i="8" l="1"/>
  <c r="D9" i="4"/>
  <c r="D183" i="4"/>
  <c r="D355" i="4"/>
  <c r="J315" i="1"/>
  <c r="N88" i="1"/>
  <c r="S76" i="1"/>
  <c r="C88" i="4"/>
  <c r="C262" i="4"/>
  <c r="C434" i="4"/>
  <c r="C90" i="4"/>
  <c r="C264" i="4"/>
  <c r="C436" i="4"/>
  <c r="C96" i="4"/>
  <c r="C442" i="4"/>
  <c r="C270" i="4"/>
  <c r="AB457" i="4"/>
  <c r="R287" i="4"/>
  <c r="AB455" i="4"/>
  <c r="R285" i="4"/>
  <c r="AB449" i="4"/>
  <c r="R279" i="4"/>
  <c r="AB453" i="4"/>
  <c r="R283" i="4"/>
  <c r="AB451" i="4"/>
  <c r="R281" i="4"/>
  <c r="O2" i="4"/>
  <c r="N386" i="1"/>
  <c r="D617" i="3"/>
  <c r="D620" i="3"/>
  <c r="D329" i="1"/>
  <c r="D626" i="3"/>
  <c r="D335" i="1"/>
  <c r="Y338" i="1"/>
  <c r="Y303" i="1"/>
  <c r="Y250" i="1"/>
  <c r="Y241" i="1"/>
  <c r="Y216" i="1"/>
  <c r="Y153" i="1"/>
  <c r="Y124" i="1"/>
  <c r="Y115" i="1"/>
  <c r="Y96" i="1"/>
  <c r="Y378" i="1"/>
  <c r="Y83" i="1"/>
  <c r="Y69" i="1"/>
  <c r="Y21" i="1"/>
  <c r="Y206" i="1"/>
  <c r="Y180" i="1"/>
  <c r="O383" i="4"/>
  <c r="D209" i="4"/>
  <c r="D381" i="4"/>
  <c r="U459" i="4"/>
  <c r="D358" i="4"/>
  <c r="G4" i="4"/>
  <c r="D4" i="4"/>
  <c r="O211" i="4"/>
  <c r="AB111" i="4"/>
  <c r="O40" i="4"/>
  <c r="O214" i="4"/>
  <c r="O45" i="4"/>
  <c r="O219" i="4"/>
  <c r="AB109" i="4"/>
  <c r="O49" i="4"/>
  <c r="O223" i="4"/>
  <c r="AB107" i="4"/>
  <c r="AB105" i="4"/>
  <c r="D12" i="4"/>
  <c r="D186" i="4"/>
  <c r="S133" i="1"/>
  <c r="S145" i="1"/>
  <c r="S141" i="1"/>
  <c r="S138" i="1"/>
  <c r="S148" i="1"/>
  <c r="Q96" i="4"/>
  <c r="Q88" i="4"/>
  <c r="Q90" i="4"/>
  <c r="P22" i="8"/>
  <c r="O37" i="4"/>
  <c r="U24" i="4"/>
  <c r="U113" i="4"/>
  <c r="AB103" i="4"/>
  <c r="D35" i="4"/>
  <c r="C132" i="4"/>
  <c r="AB132" i="4"/>
  <c r="C124" i="4"/>
  <c r="AB124" i="4"/>
  <c r="AO249" i="10"/>
  <c r="AO252" i="10" s="1"/>
  <c r="AO210" i="10"/>
  <c r="AO213" i="10" s="1"/>
  <c r="AO299" i="10"/>
  <c r="AO225" i="10"/>
  <c r="AO233" i="10"/>
  <c r="AO245" i="10"/>
  <c r="AO201" i="10"/>
  <c r="AO253" i="10"/>
  <c r="AO255" i="10" s="1"/>
  <c r="AO196" i="10"/>
  <c r="AO199" i="10" s="1"/>
  <c r="AO286" i="10"/>
  <c r="AO191" i="10"/>
  <c r="AO195" i="10" s="1"/>
  <c r="AO239" i="10"/>
  <c r="AO206" i="10"/>
  <c r="AO207" i="10" s="1"/>
  <c r="AO258" i="10"/>
  <c r="AO262" i="10" s="1"/>
  <c r="AO303" i="10"/>
  <c r="AO305" i="10" s="1"/>
  <c r="AO183" i="10"/>
  <c r="AO184" i="10" s="1"/>
  <c r="AO275" i="10"/>
  <c r="AO277" i="10" s="1"/>
  <c r="AO187" i="10"/>
  <c r="AO263" i="10"/>
  <c r="AO266" i="10" s="1"/>
  <c r="AO281" i="10"/>
  <c r="AO218" i="10"/>
  <c r="AO267" i="10"/>
  <c r="AO268" i="10" s="1"/>
  <c r="AO224" i="10"/>
  <c r="AO226" i="10" s="1"/>
  <c r="AO214" i="10"/>
  <c r="AO293" i="10"/>
  <c r="AO294" i="10" s="1"/>
  <c r="AO271" i="10"/>
  <c r="AO274" i="10" s="1"/>
  <c r="AO123" i="10"/>
  <c r="AO127" i="10" s="1"/>
  <c r="AO128" i="10"/>
  <c r="AO130" i="10" s="1"/>
  <c r="AO173" i="10"/>
  <c r="AO133" i="10"/>
  <c r="AO135" i="10" s="1"/>
  <c r="AO169" i="10"/>
  <c r="AO172" i="10" s="1"/>
  <c r="AO160" i="10"/>
  <c r="AO162" i="10" s="1"/>
  <c r="AO148" i="10"/>
  <c r="AO153" i="10"/>
  <c r="AO164" i="10"/>
  <c r="AO168" i="10" s="1"/>
  <c r="AO142" i="10"/>
  <c r="AO143" i="10" s="1"/>
  <c r="AO177" i="10"/>
  <c r="AO179" i="10" s="1"/>
  <c r="AO121" i="10"/>
  <c r="D315" i="3"/>
  <c r="D15" i="1"/>
  <c r="D13" i="1"/>
  <c r="C209" i="10"/>
  <c r="D636" i="3" s="1"/>
  <c r="V77" i="3"/>
  <c r="F60" i="3"/>
  <c r="F58" i="3"/>
  <c r="AJ84" i="10"/>
  <c r="AJ83" i="10"/>
  <c r="AJ82" i="10"/>
  <c r="AK82" i="10" s="1"/>
  <c r="AO82" i="10" s="1"/>
  <c r="F57" i="10"/>
  <c r="D57" i="10"/>
  <c r="R52" i="10"/>
  <c r="Q53" i="10"/>
  <c r="J53" i="10"/>
  <c r="F53" i="10"/>
  <c r="D141" i="9"/>
  <c r="AO283" i="10" l="1"/>
  <c r="AO285" i="10"/>
  <c r="AO217" i="10"/>
  <c r="AO158" i="10"/>
  <c r="AO157" i="10"/>
  <c r="AK83" i="10"/>
  <c r="AO83" i="10"/>
  <c r="AK84" i="10"/>
  <c r="AO84" i="10"/>
  <c r="AO149" i="10"/>
  <c r="Y481" i="3"/>
  <c r="AO236" i="10"/>
  <c r="AO235" i="10"/>
  <c r="AO244" i="10"/>
  <c r="AO241" i="10"/>
  <c r="AO240" i="10"/>
  <c r="AO237" i="10"/>
  <c r="AO251" i="10"/>
  <c r="AO282" i="10"/>
  <c r="AO212" i="10"/>
  <c r="AO279" i="10"/>
  <c r="AO261" i="10"/>
  <c r="AO192" i="10"/>
  <c r="AO295" i="10"/>
  <c r="AO260" i="10"/>
  <c r="AO257" i="10"/>
  <c r="AO216" i="10"/>
  <c r="AO296" i="10"/>
  <c r="AO193" i="10"/>
  <c r="AO302" i="10"/>
  <c r="AO301" i="10"/>
  <c r="AO185" i="10"/>
  <c r="AO300" i="10"/>
  <c r="AO238" i="10"/>
  <c r="AO264" i="10"/>
  <c r="AO242" i="10"/>
  <c r="AO243" i="10"/>
  <c r="AO208" i="10"/>
  <c r="AO284" i="10"/>
  <c r="AO189" i="10"/>
  <c r="AO292" i="10"/>
  <c r="AO306" i="10"/>
  <c r="AO204" i="10"/>
  <c r="AO254" i="10"/>
  <c r="V119" i="3"/>
  <c r="AO272" i="10"/>
  <c r="AO270" i="10"/>
  <c r="AO248" i="10"/>
  <c r="AO188" i="10"/>
  <c r="AO221" i="10"/>
  <c r="AO219" i="10"/>
  <c r="AO269" i="10"/>
  <c r="AO297" i="10"/>
  <c r="AO202" i="10"/>
  <c r="AO256" i="10"/>
  <c r="AO278" i="10"/>
  <c r="AO209" i="10"/>
  <c r="AO291" i="10"/>
  <c r="AO200" i="10"/>
  <c r="AO289" i="10"/>
  <c r="AO276" i="10"/>
  <c r="AO287" i="10"/>
  <c r="AO229" i="10"/>
  <c r="AO205" i="10"/>
  <c r="AO227" i="10"/>
  <c r="AO273" i="10"/>
  <c r="AO231" i="10"/>
  <c r="AO304" i="10"/>
  <c r="AO280" i="10"/>
  <c r="AO190" i="10"/>
  <c r="AO298" i="10"/>
  <c r="AO246" i="10"/>
  <c r="AO230" i="10"/>
  <c r="AO211" i="10"/>
  <c r="AO198" i="10"/>
  <c r="AO186" i="10"/>
  <c r="AO220" i="10"/>
  <c r="AO232" i="10"/>
  <c r="AO197" i="10"/>
  <c r="AO247" i="10"/>
  <c r="AO215" i="10"/>
  <c r="AO228" i="10"/>
  <c r="AO288" i="10"/>
  <c r="AO265" i="10"/>
  <c r="AO194" i="10"/>
  <c r="AO203" i="10"/>
  <c r="AO259" i="10"/>
  <c r="AO290" i="10"/>
  <c r="AO129" i="10"/>
  <c r="AO124" i="10"/>
  <c r="AO125" i="10"/>
  <c r="AO151" i="10"/>
  <c r="AO152" i="10"/>
  <c r="AO163" i="10"/>
  <c r="AO134" i="10"/>
  <c r="AO161" i="10"/>
  <c r="AO178" i="10"/>
  <c r="AO181" i="10"/>
  <c r="AO136" i="10"/>
  <c r="AO180" i="10"/>
  <c r="AO165" i="10"/>
  <c r="AO147" i="10"/>
  <c r="AO145" i="10"/>
  <c r="AO144" i="10"/>
  <c r="AO146" i="10"/>
  <c r="AO159" i="10"/>
  <c r="AO171" i="10"/>
  <c r="AO156" i="10"/>
  <c r="AO167" i="10"/>
  <c r="AO170" i="10"/>
  <c r="AO155" i="10"/>
  <c r="AO120" i="10"/>
  <c r="AO176" i="10"/>
  <c r="AO166" i="10"/>
  <c r="AO154" i="10"/>
  <c r="AO126" i="10"/>
  <c r="AO150" i="10"/>
  <c r="AO175" i="10"/>
  <c r="AO174" i="10"/>
  <c r="AO131" i="10"/>
  <c r="AO132" i="10"/>
  <c r="Y460" i="3"/>
  <c r="Y752" i="3"/>
  <c r="Y824" i="3"/>
  <c r="Y758" i="3"/>
  <c r="Y715" i="3"/>
  <c r="Y572" i="3"/>
  <c r="Y578" i="3"/>
  <c r="Y569" i="3"/>
  <c r="Y724" i="3"/>
  <c r="Y529" i="3"/>
  <c r="Y355" i="3"/>
  <c r="Y275" i="3"/>
  <c r="Y782" i="3"/>
  <c r="P20" i="8"/>
  <c r="K437" i="10"/>
  <c r="K434" i="10"/>
  <c r="K432" i="10"/>
  <c r="K431" i="10"/>
  <c r="AQ281" i="10" l="1"/>
  <c r="AS281" i="10" s="1"/>
  <c r="AW281" i="10" s="1"/>
  <c r="AQ210" i="10"/>
  <c r="AS210" i="10" s="1"/>
  <c r="AQ214" i="10"/>
  <c r="H161" i="4"/>
  <c r="H162" i="4"/>
  <c r="H175" i="4"/>
  <c r="H172" i="4"/>
  <c r="H150" i="4"/>
  <c r="H171" i="4"/>
  <c r="H165" i="4"/>
  <c r="H176" i="4"/>
  <c r="R348" i="10"/>
  <c r="H151" i="4"/>
  <c r="H170" i="4"/>
  <c r="Q348" i="10"/>
  <c r="H153" i="4"/>
  <c r="H169" i="4"/>
  <c r="H177" i="4"/>
  <c r="S348" i="10"/>
  <c r="H173" i="4"/>
  <c r="C152" i="4"/>
  <c r="H168" i="4"/>
  <c r="H160" i="4"/>
  <c r="H164" i="4"/>
  <c r="AQ148" i="10"/>
  <c r="AS148" i="10" s="1"/>
  <c r="AW148" i="10" s="1"/>
  <c r="AV299" i="10"/>
  <c r="AW299" i="10" s="1"/>
  <c r="AZ299" i="10" s="1"/>
  <c r="AG281" i="10"/>
  <c r="AG275" i="10"/>
  <c r="AG263" i="10"/>
  <c r="K435" i="10"/>
  <c r="K327" i="10"/>
  <c r="AG225" i="10"/>
  <c r="K328" i="10"/>
  <c r="AG233" i="10"/>
  <c r="AG191" i="10"/>
  <c r="AG267" i="10"/>
  <c r="AG224" i="10"/>
  <c r="AG286" i="10"/>
  <c r="AG258" i="10"/>
  <c r="AG183" i="10"/>
  <c r="AG303" i="10"/>
  <c r="AG196" i="10"/>
  <c r="AG249" i="10"/>
  <c r="AV206" i="10"/>
  <c r="AW206" i="10" s="1"/>
  <c r="AZ206" i="10" s="1"/>
  <c r="AQ191" i="10"/>
  <c r="AS191" i="10" s="1"/>
  <c r="AV245" i="10"/>
  <c r="AV187" i="10"/>
  <c r="AW187" i="10" s="1"/>
  <c r="AZ187" i="10" s="1"/>
  <c r="AY184" i="10" s="1"/>
  <c r="S321" i="10" s="1"/>
  <c r="AE397" i="10" s="1"/>
  <c r="AQ201" i="10"/>
  <c r="AS201" i="10" s="1"/>
  <c r="AW201" i="10" s="1"/>
  <c r="AQ183" i="10"/>
  <c r="AS183" i="10" s="1"/>
  <c r="AW183" i="10" s="1"/>
  <c r="AQ303" i="10"/>
  <c r="AS303" i="10" s="1"/>
  <c r="AQ275" i="10"/>
  <c r="AS275" i="10" s="1"/>
  <c r="AW275" i="10" s="1"/>
  <c r="BA275" i="10" s="1"/>
  <c r="AQ263" i="10"/>
  <c r="AS263" i="10" s="1"/>
  <c r="AQ286" i="10"/>
  <c r="AS286" i="10" s="1"/>
  <c r="AW286" i="10" s="1"/>
  <c r="AV218" i="10"/>
  <c r="AW218" i="10" s="1"/>
  <c r="AZ218" i="10" s="1"/>
  <c r="AV271" i="10"/>
  <c r="AW271" i="10" s="1"/>
  <c r="AZ271" i="10" s="1"/>
  <c r="AY254" i="10" s="1"/>
  <c r="S328" i="10" s="1"/>
  <c r="AE400" i="10" s="1"/>
  <c r="K436" i="10"/>
  <c r="AG214" i="10"/>
  <c r="AG239" i="10"/>
  <c r="AG222" i="10"/>
  <c r="BB222" i="10" s="1"/>
  <c r="AG293" i="10"/>
  <c r="AG201" i="10"/>
  <c r="AG253" i="10"/>
  <c r="AG210" i="10"/>
  <c r="AQ123" i="10"/>
  <c r="AS123" i="10" s="1"/>
  <c r="AW123" i="10" s="1"/>
  <c r="AV97" i="10"/>
  <c r="AW97" i="10" s="1"/>
  <c r="AV119" i="10"/>
  <c r="AW119" i="10" s="1"/>
  <c r="AZ119" i="10" s="1"/>
  <c r="AZ111" i="10" s="1"/>
  <c r="AY106" i="10" s="1"/>
  <c r="S316" i="10" s="1"/>
  <c r="AE394" i="10" s="1"/>
  <c r="AV89" i="10"/>
  <c r="AW89" i="10" s="1"/>
  <c r="AZ89" i="10" s="1"/>
  <c r="AV160" i="10"/>
  <c r="AW160" i="10" s="1"/>
  <c r="AZ160" i="10" s="1"/>
  <c r="AV128" i="10"/>
  <c r="AW128" i="10" s="1"/>
  <c r="AZ128" i="10" s="1"/>
  <c r="AQ177" i="10"/>
  <c r="AS177" i="10" s="1"/>
  <c r="AS36" i="10" s="1"/>
  <c r="AV173" i="10"/>
  <c r="AW173" i="10" s="1"/>
  <c r="AZ173" i="10" s="1"/>
  <c r="AV101" i="10"/>
  <c r="AW101" i="10" s="1"/>
  <c r="BA101" i="10" s="1"/>
  <c r="K323" i="10"/>
  <c r="K326" i="10"/>
  <c r="K433" i="10"/>
  <c r="C377" i="10"/>
  <c r="J162" i="1" s="1"/>
  <c r="K322" i="10"/>
  <c r="L348" i="10"/>
  <c r="M348" i="10"/>
  <c r="AG93" i="10"/>
  <c r="AF81" i="10"/>
  <c r="AF73" i="10"/>
  <c r="AR35" i="10"/>
  <c r="AZ286" i="10" l="1"/>
  <c r="AZ123" i="10"/>
  <c r="AX123" i="10"/>
  <c r="R317" i="10" s="1"/>
  <c r="BA183" i="10"/>
  <c r="AZ201" i="10"/>
  <c r="AZ148" i="10"/>
  <c r="BA281" i="10"/>
  <c r="AZ97" i="10"/>
  <c r="H310" i="4"/>
  <c r="H484" i="4"/>
  <c r="G82" i="9"/>
  <c r="BE148" i="10"/>
  <c r="BD148" i="10"/>
  <c r="BC148" i="10"/>
  <c r="BI148" i="10"/>
  <c r="BH148" i="10"/>
  <c r="BF148" i="10"/>
  <c r="BG148" i="10"/>
  <c r="BE299" i="10"/>
  <c r="BD299" i="10"/>
  <c r="BG299" i="10"/>
  <c r="BC299" i="10"/>
  <c r="BF299" i="10"/>
  <c r="BB299" i="10"/>
  <c r="BI299" i="10"/>
  <c r="BH299" i="10"/>
  <c r="BI206" i="10"/>
  <c r="BH206" i="10"/>
  <c r="BF206" i="10"/>
  <c r="BC206" i="10"/>
  <c r="BB206" i="10"/>
  <c r="BG206" i="10"/>
  <c r="BE206" i="10"/>
  <c r="BD206" i="10"/>
  <c r="BI123" i="10"/>
  <c r="BH123" i="10"/>
  <c r="BF123" i="10"/>
  <c r="BG123" i="10"/>
  <c r="BE123" i="10"/>
  <c r="BD123" i="10"/>
  <c r="BC123" i="10"/>
  <c r="BI263" i="10"/>
  <c r="BF263" i="10"/>
  <c r="BH263" i="10"/>
  <c r="BG263" i="10"/>
  <c r="BB263" i="10"/>
  <c r="BD263" i="10"/>
  <c r="BC263" i="10"/>
  <c r="BE263" i="10"/>
  <c r="AV27" i="10"/>
  <c r="BE101" i="10"/>
  <c r="BB101" i="10"/>
  <c r="BD101" i="10"/>
  <c r="BC101" i="10"/>
  <c r="BG101" i="10"/>
  <c r="BF101" i="10"/>
  <c r="BI101" i="10"/>
  <c r="BH101" i="10"/>
  <c r="AV32" i="10"/>
  <c r="BE173" i="10"/>
  <c r="BD173" i="10"/>
  <c r="BC173" i="10"/>
  <c r="BF173" i="10"/>
  <c r="BB173" i="10"/>
  <c r="BI173" i="10"/>
  <c r="BG173" i="10"/>
  <c r="BH173" i="10"/>
  <c r="BH177" i="10"/>
  <c r="BI177" i="10"/>
  <c r="BF177" i="10"/>
  <c r="BC177" i="10"/>
  <c r="BG177" i="10"/>
  <c r="BE177" i="10"/>
  <c r="BD177" i="10"/>
  <c r="BE128" i="10"/>
  <c r="BD128" i="10"/>
  <c r="BC128" i="10"/>
  <c r="BB128" i="10"/>
  <c r="BG128" i="10"/>
  <c r="BF128" i="10"/>
  <c r="BI128" i="10"/>
  <c r="BH128" i="10"/>
  <c r="BG160" i="10"/>
  <c r="BF160" i="10"/>
  <c r="BE160" i="10"/>
  <c r="BB160" i="10"/>
  <c r="BI160" i="10"/>
  <c r="BD160" i="10"/>
  <c r="BC160" i="10"/>
  <c r="BH160" i="10"/>
  <c r="BE191" i="10"/>
  <c r="BB191" i="10"/>
  <c r="BD191" i="10"/>
  <c r="BI191" i="10"/>
  <c r="BC191" i="10"/>
  <c r="BH191" i="10"/>
  <c r="BF191" i="10"/>
  <c r="BG191" i="10"/>
  <c r="BF89" i="10"/>
  <c r="BE89" i="10"/>
  <c r="BI89" i="10"/>
  <c r="BD89" i="10"/>
  <c r="BG89" i="10"/>
  <c r="BB89" i="10"/>
  <c r="BH89" i="10"/>
  <c r="BC89" i="10"/>
  <c r="AV48" i="10"/>
  <c r="BH271" i="10"/>
  <c r="BI271" i="10"/>
  <c r="BE271" i="10"/>
  <c r="BD271" i="10"/>
  <c r="BC271" i="10"/>
  <c r="BF271" i="10"/>
  <c r="BB271" i="10"/>
  <c r="BG271" i="10"/>
  <c r="AV26" i="10"/>
  <c r="BI97" i="10"/>
  <c r="BF97" i="10"/>
  <c r="BD97" i="10"/>
  <c r="BH97" i="10"/>
  <c r="BG97" i="10"/>
  <c r="BE97" i="10"/>
  <c r="BC97" i="10"/>
  <c r="BB97" i="10"/>
  <c r="AS55" i="10"/>
  <c r="BI275" i="10"/>
  <c r="BE275" i="10"/>
  <c r="BH275" i="10"/>
  <c r="BD275" i="10"/>
  <c r="BF275" i="10"/>
  <c r="BG275" i="10"/>
  <c r="BC275" i="10"/>
  <c r="BB275" i="10"/>
  <c r="BH119" i="10"/>
  <c r="BI119" i="10"/>
  <c r="BE119" i="10"/>
  <c r="BD119" i="10"/>
  <c r="BF119" i="10"/>
  <c r="BC119" i="10"/>
  <c r="BB119" i="10"/>
  <c r="BG119" i="10"/>
  <c r="BI218" i="10"/>
  <c r="BE218" i="10"/>
  <c r="BH218" i="10"/>
  <c r="BD218" i="10"/>
  <c r="BB218" i="10"/>
  <c r="BG218" i="10"/>
  <c r="BC218" i="10"/>
  <c r="BF218" i="10"/>
  <c r="BI286" i="10"/>
  <c r="BE286" i="10"/>
  <c r="BH286" i="10"/>
  <c r="BD286" i="10"/>
  <c r="BC286" i="10"/>
  <c r="BF286" i="10"/>
  <c r="BG286" i="10"/>
  <c r="BB286" i="10"/>
  <c r="BE281" i="10"/>
  <c r="BF281" i="10"/>
  <c r="BI281" i="10"/>
  <c r="BD281" i="10"/>
  <c r="BG281" i="10"/>
  <c r="BH281" i="10"/>
  <c r="BC281" i="10"/>
  <c r="BB281" i="10"/>
  <c r="BH303" i="10"/>
  <c r="BI303" i="10"/>
  <c r="BB303" i="10"/>
  <c r="BD303" i="10"/>
  <c r="BF303" i="10"/>
  <c r="BG303" i="10"/>
  <c r="BE303" i="10"/>
  <c r="BC303" i="10"/>
  <c r="BI183" i="10"/>
  <c r="BE183" i="10"/>
  <c r="BH183" i="10"/>
  <c r="BF183" i="10"/>
  <c r="BG183" i="10"/>
  <c r="BD183" i="10"/>
  <c r="T333" i="10" s="1"/>
  <c r="BC183" i="10"/>
  <c r="S333" i="10" s="1"/>
  <c r="BB183" i="10"/>
  <c r="R333" i="10" s="1"/>
  <c r="BE201" i="10"/>
  <c r="BD201" i="10"/>
  <c r="BC201" i="10"/>
  <c r="BF201" i="10"/>
  <c r="BI201" i="10"/>
  <c r="BG201" i="10"/>
  <c r="BH201" i="10"/>
  <c r="BB201" i="10"/>
  <c r="BE187" i="10"/>
  <c r="BD187" i="10"/>
  <c r="BB187" i="10"/>
  <c r="BC187" i="10"/>
  <c r="BG187" i="10"/>
  <c r="BF187" i="10"/>
  <c r="BI187" i="10"/>
  <c r="BH187" i="10"/>
  <c r="AS42" i="10"/>
  <c r="BI210" i="10"/>
  <c r="BE210" i="10"/>
  <c r="BF210" i="10"/>
  <c r="BH210" i="10"/>
  <c r="BD210" i="10"/>
  <c r="BG210" i="10"/>
  <c r="BC210" i="10"/>
  <c r="BB210" i="10"/>
  <c r="AB163" i="4"/>
  <c r="C164" i="4"/>
  <c r="H130" i="4"/>
  <c r="H134" i="4"/>
  <c r="H137" i="4"/>
  <c r="H135" i="4"/>
  <c r="H133" i="4"/>
  <c r="H129" i="4"/>
  <c r="AB148" i="4"/>
  <c r="C149" i="4"/>
  <c r="H125" i="4"/>
  <c r="H139" i="4"/>
  <c r="H136" i="4"/>
  <c r="H126" i="4"/>
  <c r="H138" i="4"/>
  <c r="AV49" i="10"/>
  <c r="AW245" i="10"/>
  <c r="BA245" i="10" s="1"/>
  <c r="AY227" i="10" s="1"/>
  <c r="AV246" i="10"/>
  <c r="C381" i="10"/>
  <c r="AS56" i="10"/>
  <c r="AS41" i="10"/>
  <c r="AS38" i="10"/>
  <c r="AS39" i="10"/>
  <c r="AG177" i="10"/>
  <c r="BB177" i="10" s="1"/>
  <c r="AV39" i="10"/>
  <c r="AG153" i="10"/>
  <c r="AG115" i="10"/>
  <c r="AG105" i="10"/>
  <c r="AG142" i="10"/>
  <c r="AV38" i="10"/>
  <c r="AV40" i="10"/>
  <c r="AS63" i="10"/>
  <c r="AS53" i="10"/>
  <c r="AS59" i="10"/>
  <c r="AV30" i="10"/>
  <c r="AV31" i="10"/>
  <c r="AV25" i="10"/>
  <c r="AV29" i="10"/>
  <c r="AS28" i="10"/>
  <c r="AG164" i="10"/>
  <c r="AG148" i="10"/>
  <c r="BB148" i="10" s="1"/>
  <c r="AG137" i="10"/>
  <c r="AG133" i="10"/>
  <c r="AG169" i="10"/>
  <c r="AG123" i="10"/>
  <c r="BB123" i="10" s="1"/>
  <c r="E528" i="10"/>
  <c r="I401" i="10"/>
  <c r="C389" i="10"/>
  <c r="K429" i="10"/>
  <c r="K428" i="10"/>
  <c r="BE314" i="10" l="1"/>
  <c r="BD314" i="10"/>
  <c r="BI314" i="10"/>
  <c r="BH314" i="10"/>
  <c r="X338" i="10"/>
  <c r="X343" i="10" s="1"/>
  <c r="S396" i="10"/>
  <c r="AY202" i="10"/>
  <c r="AY124" i="10"/>
  <c r="S317" i="10" s="1"/>
  <c r="AE395" i="10" s="1"/>
  <c r="AY125" i="10"/>
  <c r="U317" i="10" s="1"/>
  <c r="AD338" i="10" s="1"/>
  <c r="BE245" i="10"/>
  <c r="BB245" i="10"/>
  <c r="BD245" i="10"/>
  <c r="BD315" i="10" s="1"/>
  <c r="BC245" i="10"/>
  <c r="BI245" i="10"/>
  <c r="BI315" i="10" s="1"/>
  <c r="E444" i="4" s="1"/>
  <c r="BH245" i="10"/>
  <c r="BH315" i="10" s="1"/>
  <c r="BF245" i="10"/>
  <c r="BG245" i="10"/>
  <c r="C128" i="4"/>
  <c r="AB128" i="4"/>
  <c r="AV46" i="10"/>
  <c r="AW246" i="10"/>
  <c r="C528" i="10"/>
  <c r="C421" i="10"/>
  <c r="S316" i="1" s="1"/>
  <c r="C392" i="10"/>
  <c r="C401" i="10"/>
  <c r="C422" i="10"/>
  <c r="C380" i="10"/>
  <c r="K430" i="10"/>
  <c r="E438" i="4" l="1"/>
  <c r="U92" i="4"/>
  <c r="U98" i="4"/>
  <c r="AD344" i="10"/>
  <c r="AD342" i="10"/>
  <c r="AD339" i="10"/>
  <c r="AD346" i="10"/>
  <c r="AD343" i="10"/>
  <c r="AD345" i="10"/>
  <c r="AD341" i="10"/>
  <c r="AD340" i="10"/>
  <c r="X341" i="10"/>
  <c r="X342" i="10"/>
  <c r="X340" i="10"/>
  <c r="X346" i="10"/>
  <c r="X345" i="10"/>
  <c r="X339" i="10"/>
  <c r="X344" i="10"/>
  <c r="AV47" i="10"/>
  <c r="AZ246" i="10"/>
  <c r="AY228" i="10" s="1"/>
  <c r="S327" i="10" s="1"/>
  <c r="AE399" i="10" s="1"/>
  <c r="AX225" i="10"/>
  <c r="R327" i="10" s="1"/>
  <c r="BE315" i="10"/>
  <c r="Y361" i="10" l="1"/>
  <c r="Y364" i="10" s="1"/>
  <c r="S401" i="10"/>
  <c r="B6" i="3"/>
  <c r="B116" i="4"/>
  <c r="B142" i="4"/>
  <c r="B16" i="3"/>
  <c r="H119" i="4"/>
  <c r="H120" i="4"/>
  <c r="C376" i="10"/>
  <c r="C386" i="10"/>
  <c r="BA22" i="10"/>
  <c r="K427" i="10"/>
  <c r="Y362" i="10" l="1"/>
  <c r="Y369" i="10"/>
  <c r="Y367" i="10"/>
  <c r="Y363" i="10"/>
  <c r="Y365" i="10"/>
  <c r="Y368" i="10"/>
  <c r="C390" i="10"/>
  <c r="E555" i="10"/>
  <c r="C555" i="10" s="1"/>
  <c r="D10" i="4" l="1"/>
  <c r="D356" i="4"/>
  <c r="D184" i="4"/>
  <c r="Y366" i="10"/>
  <c r="C312" i="10"/>
  <c r="G8" i="1" s="1"/>
  <c r="B287" i="4" l="1"/>
  <c r="B198" i="4"/>
  <c r="B113" i="4"/>
  <c r="B24" i="4"/>
  <c r="D154" i="9"/>
  <c r="D153" i="9"/>
  <c r="D151" i="9"/>
  <c r="D150" i="9"/>
  <c r="D148" i="9"/>
  <c r="C22" i="10" l="1"/>
  <c r="Y245" i="3" s="1"/>
  <c r="R2" i="4"/>
  <c r="G14" i="8"/>
  <c r="D308" i="1"/>
  <c r="D254" i="1"/>
  <c r="F252" i="1"/>
  <c r="AJ88" i="10" l="1"/>
  <c r="AO88" i="10" s="1"/>
  <c r="AJ87" i="10"/>
  <c r="AO87" i="10" s="1"/>
  <c r="AJ86" i="10"/>
  <c r="AO86" i="10" s="1"/>
  <c r="AJ80" i="10"/>
  <c r="AO80" i="10" s="1"/>
  <c r="AJ79" i="10"/>
  <c r="AO79" i="10" s="1"/>
  <c r="AJ78" i="10"/>
  <c r="AO78" i="10" s="1"/>
  <c r="D147" i="9"/>
  <c r="D145" i="9"/>
  <c r="D143" i="9"/>
  <c r="D343" i="1"/>
  <c r="D307" i="1"/>
  <c r="D247" i="1"/>
  <c r="D246" i="1"/>
  <c r="D245" i="1"/>
  <c r="P4" i="1"/>
  <c r="D162" i="3"/>
  <c r="D159" i="3"/>
  <c r="D156" i="3"/>
  <c r="BE72" i="10"/>
  <c r="R187" i="1" s="1"/>
  <c r="BD72" i="10"/>
  <c r="R189" i="1" s="1"/>
  <c r="BC72" i="10"/>
  <c r="R191" i="1" s="1"/>
  <c r="BB72" i="10"/>
  <c r="R193" i="1" s="1"/>
  <c r="D83" i="3"/>
  <c r="D68" i="3"/>
  <c r="N448" i="10"/>
  <c r="M448" i="10"/>
  <c r="N447" i="10"/>
  <c r="M447" i="10"/>
  <c r="N446" i="10"/>
  <c r="M446" i="10"/>
  <c r="N444" i="10"/>
  <c r="M444" i="10"/>
  <c r="N443" i="10"/>
  <c r="M443" i="10"/>
  <c r="N442" i="10"/>
  <c r="M442" i="10"/>
  <c r="N441" i="10"/>
  <c r="M441" i="10"/>
  <c r="L448" i="10"/>
  <c r="K448" i="10"/>
  <c r="L447" i="10"/>
  <c r="K447" i="10"/>
  <c r="L446" i="10"/>
  <c r="K446" i="10"/>
  <c r="L444" i="10"/>
  <c r="K444" i="10"/>
  <c r="L443" i="10"/>
  <c r="K443" i="10"/>
  <c r="L442" i="10"/>
  <c r="K442" i="10"/>
  <c r="L441" i="10"/>
  <c r="K441" i="10"/>
  <c r="K420" i="10"/>
  <c r="K421" i="10"/>
  <c r="K423" i="10" s="1"/>
  <c r="K422" i="10"/>
  <c r="K426" i="10"/>
  <c r="AJ136" i="10"/>
  <c r="AK136" i="10" s="1"/>
  <c r="AJ135" i="10"/>
  <c r="AK135" i="10" s="1"/>
  <c r="AJ134" i="10"/>
  <c r="AK134" i="10" s="1"/>
  <c r="AB159" i="4" l="1"/>
  <c r="C159" i="4"/>
  <c r="AK88" i="10"/>
  <c r="AK78" i="10"/>
  <c r="AK86" i="10"/>
  <c r="AK87" i="10"/>
  <c r="AK79" i="10"/>
  <c r="AK80" i="10"/>
  <c r="D378" i="1"/>
  <c r="D250" i="1"/>
  <c r="F305" i="1"/>
  <c r="F243" i="1"/>
  <c r="F340" i="1"/>
  <c r="D342" i="1"/>
  <c r="N445" i="10"/>
  <c r="M445" i="10"/>
  <c r="K445" i="10"/>
  <c r="L445" i="10"/>
  <c r="D89" i="9"/>
  <c r="T62" i="9"/>
  <c r="Q62" i="9"/>
  <c r="N62" i="9"/>
  <c r="G62" i="9"/>
  <c r="D213" i="1"/>
  <c r="D212" i="1"/>
  <c r="D211" i="1"/>
  <c r="F208" i="1"/>
  <c r="D114" i="9"/>
  <c r="G114" i="9"/>
  <c r="L114" i="9"/>
  <c r="L112" i="9"/>
  <c r="G112" i="9"/>
  <c r="D112" i="9"/>
  <c r="AK159" i="10"/>
  <c r="C167" i="4"/>
  <c r="AB174" i="4" l="1"/>
  <c r="C174" i="4"/>
  <c r="AS214" i="10"/>
  <c r="AW214" i="10" s="1"/>
  <c r="C388" i="10"/>
  <c r="D200" i="1" s="1"/>
  <c r="S77" i="1"/>
  <c r="BA214" i="10" l="1"/>
  <c r="AX201" i="10"/>
  <c r="R322" i="10" s="1"/>
  <c r="BG214" i="10"/>
  <c r="BF214" i="10"/>
  <c r="BB214" i="10"/>
  <c r="BH214" i="10"/>
  <c r="BC214" i="10"/>
  <c r="BE214" i="10"/>
  <c r="BD214" i="10"/>
  <c r="BI214" i="10"/>
  <c r="AT201" i="10"/>
  <c r="Q322" i="10" s="1"/>
  <c r="L349" i="10" s="1"/>
  <c r="AS43" i="10"/>
  <c r="AV85" i="10"/>
  <c r="AV77" i="10"/>
  <c r="AW77" i="10" s="1"/>
  <c r="O2" i="9"/>
  <c r="H2" i="9"/>
  <c r="X349" i="10" l="1"/>
  <c r="X357" i="10" s="1"/>
  <c r="S399" i="10"/>
  <c r="AY203" i="10"/>
  <c r="AY204" i="10"/>
  <c r="U322" i="10" s="1"/>
  <c r="AD349" i="10" s="1"/>
  <c r="BA77" i="10"/>
  <c r="AZ77" i="10"/>
  <c r="L350" i="10"/>
  <c r="BE77" i="10"/>
  <c r="BD77" i="10"/>
  <c r="BG77" i="10"/>
  <c r="BF77" i="10"/>
  <c r="BC77" i="10"/>
  <c r="BB77" i="10"/>
  <c r="BH77" i="10"/>
  <c r="BI77" i="10"/>
  <c r="AV23" i="10"/>
  <c r="AW85" i="10"/>
  <c r="AZ85" i="10" s="1"/>
  <c r="AD353" i="10" l="1"/>
  <c r="AD355" i="10"/>
  <c r="AD352" i="10"/>
  <c r="AD358" i="10"/>
  <c r="AD351" i="10"/>
  <c r="AD357" i="10"/>
  <c r="AD350" i="10"/>
  <c r="AD356" i="10"/>
  <c r="X356" i="10"/>
  <c r="X353" i="10"/>
  <c r="X351" i="10"/>
  <c r="X352" i="10"/>
  <c r="X350" i="10"/>
  <c r="X358" i="10"/>
  <c r="S322" i="10"/>
  <c r="AE398" i="10" s="1"/>
  <c r="T322" i="10"/>
  <c r="Y397" i="10" s="1"/>
  <c r="AV24" i="10"/>
  <c r="BI85" i="10"/>
  <c r="BE85" i="10"/>
  <c r="BH85" i="10"/>
  <c r="BD85" i="10"/>
  <c r="BF85" i="10"/>
  <c r="BG85" i="10"/>
  <c r="BC85" i="10"/>
  <c r="BB85" i="10"/>
  <c r="X355" i="10" l="1"/>
  <c r="D151" i="1"/>
  <c r="D150" i="1"/>
  <c r="D94" i="1"/>
  <c r="P94" i="1"/>
  <c r="S94" i="1"/>
  <c r="V94" i="1"/>
  <c r="M94" i="1" l="1"/>
  <c r="K410" i="10" l="1"/>
  <c r="L410" i="10"/>
  <c r="K411" i="10"/>
  <c r="L411" i="10"/>
  <c r="K412" i="10"/>
  <c r="L412" i="10"/>
  <c r="L414" i="10" s="1"/>
  <c r="K413" i="10"/>
  <c r="L413" i="10"/>
  <c r="K415" i="10"/>
  <c r="L415" i="10"/>
  <c r="K416" i="10"/>
  <c r="L416" i="10"/>
  <c r="K417" i="10"/>
  <c r="L417" i="10"/>
  <c r="K419" i="10"/>
  <c r="K424" i="10"/>
  <c r="K425" i="10"/>
  <c r="K414" i="10" l="1"/>
  <c r="K51" i="10"/>
  <c r="K52" i="10"/>
  <c r="K44" i="10"/>
  <c r="R29" i="10"/>
  <c r="K29" i="10"/>
  <c r="R5" i="10"/>
  <c r="K5" i="10"/>
  <c r="S101" i="1" l="1"/>
  <c r="G106" i="9" l="1"/>
  <c r="L98" i="9"/>
  <c r="D122" i="9"/>
  <c r="D120" i="9"/>
  <c r="L110" i="9"/>
  <c r="G110" i="9"/>
  <c r="D110" i="9"/>
  <c r="L108" i="9"/>
  <c r="G108" i="9"/>
  <c r="D108" i="9"/>
  <c r="L106" i="9"/>
  <c r="D106" i="9"/>
  <c r="L104" i="9"/>
  <c r="G104" i="9"/>
  <c r="D104" i="9"/>
  <c r="L102" i="9"/>
  <c r="L101" i="9"/>
  <c r="L100" i="9"/>
  <c r="G100" i="9"/>
  <c r="D100" i="9"/>
  <c r="G98" i="9"/>
  <c r="D98" i="9"/>
  <c r="L96" i="9"/>
  <c r="G96" i="9"/>
  <c r="D96" i="9"/>
  <c r="D94" i="9"/>
  <c r="D92" i="9"/>
  <c r="D58" i="9"/>
  <c r="D24" i="9"/>
  <c r="D22" i="9"/>
  <c r="D60" i="9" l="1"/>
  <c r="AG30" i="10" l="1"/>
  <c r="AG31" i="10"/>
  <c r="G123" i="10" l="1"/>
  <c r="G122" i="10"/>
  <c r="G121" i="10"/>
  <c r="E121" i="10"/>
  <c r="E122" i="10"/>
  <c r="E123" i="10"/>
  <c r="E124" i="10"/>
  <c r="E120" i="10"/>
  <c r="AO137" i="10"/>
  <c r="AO138" i="10" s="1"/>
  <c r="AS57" i="10"/>
  <c r="AS32" i="10"/>
  <c r="F54" i="3"/>
  <c r="AO139" i="10" l="1"/>
  <c r="AO140" i="10"/>
  <c r="AO141" i="10"/>
  <c r="N114" i="1"/>
  <c r="AQ137" i="10" l="1"/>
  <c r="AS137" i="10" s="1"/>
  <c r="BE137" i="10" s="1"/>
  <c r="AJ76" i="10"/>
  <c r="AO76" i="10" s="1"/>
  <c r="AJ75" i="10"/>
  <c r="AO75" i="10" s="1"/>
  <c r="AJ74" i="10"/>
  <c r="AO74" i="10" s="1"/>
  <c r="D139" i="9"/>
  <c r="BH137" i="10" l="1"/>
  <c r="BI137" i="10"/>
  <c r="BG137" i="10"/>
  <c r="AS30" i="10"/>
  <c r="BC137" i="10"/>
  <c r="BB137" i="10"/>
  <c r="BF137" i="10"/>
  <c r="BD137" i="10"/>
  <c r="AK74" i="10"/>
  <c r="AK75" i="10"/>
  <c r="AK76" i="10"/>
  <c r="G24" i="8"/>
  <c r="F218" i="1" l="1"/>
  <c r="D220" i="1"/>
  <c r="J175" i="1"/>
  <c r="J170" i="1"/>
  <c r="J160" i="1"/>
  <c r="D157" i="1"/>
  <c r="F182" i="1"/>
  <c r="D184" i="1"/>
  <c r="D185" i="1"/>
  <c r="F155" i="1"/>
  <c r="F126" i="1"/>
  <c r="D129" i="1"/>
  <c r="D128" i="1"/>
  <c r="D122" i="1"/>
  <c r="D121" i="1"/>
  <c r="D120" i="1"/>
  <c r="D119" i="1"/>
  <c r="F117" i="1"/>
  <c r="S100" i="1"/>
  <c r="D100" i="1"/>
  <c r="F98" i="1"/>
  <c r="D87" i="1"/>
  <c r="G71" i="1"/>
  <c r="D25" i="1"/>
  <c r="G23" i="1"/>
  <c r="P2" i="3"/>
  <c r="G11" i="1"/>
  <c r="M4" i="1"/>
  <c r="J4" i="1"/>
  <c r="G4" i="1"/>
  <c r="S910" i="3"/>
  <c r="D216" i="1" l="1"/>
  <c r="D338" i="1"/>
  <c r="D303" i="1"/>
  <c r="D4" i="1"/>
  <c r="D4" i="3"/>
  <c r="D2" i="1"/>
  <c r="D2" i="3"/>
  <c r="D73" i="1"/>
  <c r="D201" i="1"/>
  <c r="D153" i="1"/>
  <c r="D124" i="1"/>
  <c r="D69" i="1"/>
  <c r="D83" i="1"/>
  <c r="D96" i="1"/>
  <c r="D115" i="1"/>
  <c r="J2" i="1"/>
  <c r="J2" i="3"/>
  <c r="G2" i="1"/>
  <c r="G2" i="3"/>
  <c r="M2" i="1"/>
  <c r="M2" i="3"/>
  <c r="D5" i="1"/>
  <c r="D54" i="3"/>
  <c r="D241" i="1"/>
  <c r="D180" i="1"/>
  <c r="D206" i="1"/>
  <c r="G9" i="1"/>
  <c r="S113" i="1"/>
  <c r="AG29" i="10" l="1"/>
  <c r="AP249" i="10" s="1"/>
  <c r="AG27" i="10"/>
  <c r="G118" i="10" l="1"/>
  <c r="I118" i="10"/>
  <c r="I88" i="10"/>
  <c r="G88" i="10"/>
  <c r="E88" i="10"/>
  <c r="AN4" i="10"/>
  <c r="E118" i="10"/>
  <c r="AQ239" i="10"/>
  <c r="AS239" i="10" s="1"/>
  <c r="AW239" i="10" s="1"/>
  <c r="I121" i="10" l="1"/>
  <c r="G124" i="10"/>
  <c r="I120" i="10"/>
  <c r="G120" i="10"/>
  <c r="I124" i="10"/>
  <c r="I123" i="10"/>
  <c r="I122" i="10"/>
  <c r="C122" i="10" s="1"/>
  <c r="D361" i="3" s="1"/>
  <c r="BA239" i="10"/>
  <c r="C88" i="10"/>
  <c r="D251" i="3" s="1"/>
  <c r="C118" i="10"/>
  <c r="D345" i="3" s="1"/>
  <c r="AS47" i="10"/>
  <c r="BE239" i="10"/>
  <c r="BD239" i="10"/>
  <c r="BC239" i="10"/>
  <c r="BB239" i="10"/>
  <c r="BG239" i="10"/>
  <c r="BF239" i="10"/>
  <c r="BI239" i="10"/>
  <c r="BH239" i="10"/>
  <c r="C121" i="10"/>
  <c r="D358" i="3" s="1"/>
  <c r="AJ114" i="10"/>
  <c r="AO114" i="10" s="1"/>
  <c r="AJ113" i="10"/>
  <c r="AO113" i="10" s="1"/>
  <c r="AJ112" i="10"/>
  <c r="AO112" i="10" s="1"/>
  <c r="C120" i="10" l="1"/>
  <c r="D355" i="3" s="1"/>
  <c r="AK112" i="10"/>
  <c r="AK113" i="10"/>
  <c r="AK114" i="10"/>
  <c r="C124" i="10"/>
  <c r="D367" i="3" s="1"/>
  <c r="AV111" i="10" l="1"/>
  <c r="AW111" i="10" s="1"/>
  <c r="D147" i="3"/>
  <c r="D74" i="3"/>
  <c r="AV22" i="10" l="1"/>
  <c r="BI111" i="10"/>
  <c r="BI313" i="10" s="1"/>
  <c r="BH111" i="10"/>
  <c r="BH313" i="10" s="1"/>
  <c r="BG111" i="10"/>
  <c r="BF111" i="10"/>
  <c r="BB111" i="10"/>
  <c r="BC111" i="10"/>
  <c r="BE111" i="10"/>
  <c r="BD111" i="10"/>
  <c r="AV28" i="10"/>
  <c r="AG25" i="10"/>
  <c r="G136" i="10" s="1"/>
  <c r="BA32" i="10"/>
  <c r="D142" i="9"/>
  <c r="Y137" i="9"/>
  <c r="D134" i="9"/>
  <c r="D128" i="9"/>
  <c r="D12" i="9"/>
  <c r="D10" i="9"/>
  <c r="D126" i="9"/>
  <c r="W122" i="9"/>
  <c r="G6" i="9"/>
  <c r="E391" i="1"/>
  <c r="E389" i="1"/>
  <c r="E384" i="1"/>
  <c r="E382" i="1"/>
  <c r="E380" i="1"/>
  <c r="E85" i="1"/>
  <c r="AG28" i="10"/>
  <c r="AG26" i="10"/>
  <c r="AG81" i="10"/>
  <c r="D80" i="3"/>
  <c r="D71" i="3"/>
  <c r="V116" i="3"/>
  <c r="V65" i="3"/>
  <c r="V63" i="3"/>
  <c r="E239" i="10" l="1"/>
  <c r="G239" i="10"/>
  <c r="I239" i="10"/>
  <c r="G240" i="10"/>
  <c r="I136" i="10"/>
  <c r="E136" i="10"/>
  <c r="C136" i="10" s="1"/>
  <c r="I47" i="10"/>
  <c r="I46" i="10"/>
  <c r="G47" i="10"/>
  <c r="G46" i="10"/>
  <c r="E46" i="10"/>
  <c r="E47" i="10"/>
  <c r="G184" i="10"/>
  <c r="G183" i="10"/>
  <c r="I169" i="10"/>
  <c r="G182" i="10"/>
  <c r="I170" i="10"/>
  <c r="G170" i="10"/>
  <c r="I182" i="10"/>
  <c r="G169" i="10"/>
  <c r="I183" i="10"/>
  <c r="I184" i="10"/>
  <c r="G296" i="10"/>
  <c r="I296" i="10"/>
  <c r="G293" i="10"/>
  <c r="I293" i="10"/>
  <c r="I163" i="10"/>
  <c r="G163" i="10"/>
  <c r="E151" i="10"/>
  <c r="I63" i="10"/>
  <c r="I161" i="10"/>
  <c r="E152" i="10"/>
  <c r="I151" i="10"/>
  <c r="E163" i="10"/>
  <c r="G152" i="10"/>
  <c r="G151" i="10"/>
  <c r="G63" i="10"/>
  <c r="I152" i="10"/>
  <c r="E161" i="10"/>
  <c r="G161" i="10"/>
  <c r="AO106" i="10"/>
  <c r="AQ105" i="10" s="1"/>
  <c r="AS105" i="10" s="1"/>
  <c r="AW105" i="10" s="1"/>
  <c r="G238" i="10"/>
  <c r="I238" i="10"/>
  <c r="G87" i="10"/>
  <c r="E89" i="10"/>
  <c r="E90" i="10"/>
  <c r="E91" i="10"/>
  <c r="I95" i="10"/>
  <c r="G94" i="10"/>
  <c r="E95" i="10"/>
  <c r="I91" i="10"/>
  <c r="I90" i="10"/>
  <c r="I89" i="10"/>
  <c r="G91" i="10"/>
  <c r="G90" i="10"/>
  <c r="I87" i="10"/>
  <c r="G89" i="10"/>
  <c r="E87" i="10"/>
  <c r="E94" i="10"/>
  <c r="I94" i="10"/>
  <c r="G95" i="10"/>
  <c r="E62" i="10"/>
  <c r="I240" i="10"/>
  <c r="I201" i="10"/>
  <c r="G196" i="10"/>
  <c r="I197" i="10"/>
  <c r="G191" i="10"/>
  <c r="G228" i="10"/>
  <c r="I228" i="10"/>
  <c r="I196" i="10"/>
  <c r="G223" i="10"/>
  <c r="I223" i="10"/>
  <c r="I191" i="10"/>
  <c r="G217" i="10"/>
  <c r="I217" i="10"/>
  <c r="G216" i="10"/>
  <c r="I216" i="10"/>
  <c r="G215" i="10"/>
  <c r="I215" i="10"/>
  <c r="G214" i="10"/>
  <c r="I214" i="10"/>
  <c r="G201" i="10"/>
  <c r="I203" i="10"/>
  <c r="G203" i="10"/>
  <c r="G197" i="10"/>
  <c r="I164" i="10"/>
  <c r="E146" i="10"/>
  <c r="I75" i="10"/>
  <c r="I162" i="10"/>
  <c r="I99" i="10"/>
  <c r="G107" i="10"/>
  <c r="I98" i="10"/>
  <c r="I62" i="10"/>
  <c r="I160" i="10"/>
  <c r="G164" i="10"/>
  <c r="E160" i="10"/>
  <c r="I54" i="10"/>
  <c r="G162" i="10"/>
  <c r="E162" i="10"/>
  <c r="I146" i="10"/>
  <c r="G160" i="10"/>
  <c r="G99" i="10"/>
  <c r="E99" i="10"/>
  <c r="I144" i="10"/>
  <c r="E164" i="10"/>
  <c r="G98" i="10"/>
  <c r="G75" i="10"/>
  <c r="G146" i="10"/>
  <c r="G62" i="10"/>
  <c r="G144" i="10"/>
  <c r="I107" i="10"/>
  <c r="G54" i="10"/>
  <c r="E144" i="10"/>
  <c r="I105" i="10"/>
  <c r="G53" i="10"/>
  <c r="G105" i="10"/>
  <c r="I53" i="10"/>
  <c r="E98" i="10"/>
  <c r="AG40" i="10"/>
  <c r="G28" i="10"/>
  <c r="E28" i="10"/>
  <c r="I28" i="10"/>
  <c r="BD313" i="10"/>
  <c r="BE313" i="10"/>
  <c r="AN6" i="10"/>
  <c r="E63" i="10"/>
  <c r="AO250" i="10"/>
  <c r="AQ249" i="10" s="1"/>
  <c r="AS249" i="10" s="1"/>
  <c r="AW249" i="10" s="1"/>
  <c r="BA249" i="10" s="1"/>
  <c r="E105" i="10"/>
  <c r="AB144" i="4"/>
  <c r="C144" i="4"/>
  <c r="E107" i="10"/>
  <c r="AZ5" i="10"/>
  <c r="AG41" i="10"/>
  <c r="AP253" i="10" s="1"/>
  <c r="AQ253" i="10" s="1"/>
  <c r="AS253" i="10" s="1"/>
  <c r="E296" i="10"/>
  <c r="E293" i="10"/>
  <c r="E184" i="10"/>
  <c r="E182" i="10"/>
  <c r="E169" i="10"/>
  <c r="E183" i="10"/>
  <c r="E170" i="10"/>
  <c r="E238" i="10"/>
  <c r="E217" i="10"/>
  <c r="E214" i="10"/>
  <c r="E201" i="10"/>
  <c r="E215" i="10"/>
  <c r="E203" i="10"/>
  <c r="E240" i="10"/>
  <c r="E228" i="10"/>
  <c r="E223" i="10"/>
  <c r="E216" i="10"/>
  <c r="E196" i="10"/>
  <c r="E197" i="10"/>
  <c r="E191" i="10"/>
  <c r="E75" i="10"/>
  <c r="E10" i="10"/>
  <c r="E53" i="10"/>
  <c r="C131" i="10"/>
  <c r="D388" i="3" s="1"/>
  <c r="D342" i="3"/>
  <c r="D202" i="3"/>
  <c r="E54" i="10"/>
  <c r="D324" i="3"/>
  <c r="D278" i="3"/>
  <c r="D205" i="3"/>
  <c r="D196" i="3"/>
  <c r="D333" i="3"/>
  <c r="D266" i="3"/>
  <c r="C221" i="10"/>
  <c r="D676" i="3" s="1"/>
  <c r="C157" i="10"/>
  <c r="D466" i="3" s="1"/>
  <c r="D245" i="3"/>
  <c r="C141" i="10"/>
  <c r="D418" i="3" s="1"/>
  <c r="C190" i="10"/>
  <c r="D575" i="3" s="1"/>
  <c r="K314" i="10"/>
  <c r="K320" i="10"/>
  <c r="BA27" i="10"/>
  <c r="K321" i="10"/>
  <c r="D175" i="3"/>
  <c r="C123" i="10"/>
  <c r="D364" i="3" s="1"/>
  <c r="K325" i="10"/>
  <c r="D330" i="3"/>
  <c r="D211" i="3"/>
  <c r="C128" i="10"/>
  <c r="D379" i="3" s="1"/>
  <c r="C220" i="10"/>
  <c r="D673" i="3" s="1"/>
  <c r="C206" i="10"/>
  <c r="C398" i="10"/>
  <c r="C391" i="10"/>
  <c r="AG73" i="10"/>
  <c r="D130" i="9"/>
  <c r="B187" i="1"/>
  <c r="D124" i="9"/>
  <c r="Y169" i="3"/>
  <c r="J177" i="1"/>
  <c r="M4" i="3"/>
  <c r="J178" i="1"/>
  <c r="P4" i="3"/>
  <c r="G4" i="3"/>
  <c r="J4" i="3"/>
  <c r="AQ115" i="10"/>
  <c r="AS115" i="10" s="1"/>
  <c r="J176" i="1"/>
  <c r="D111" i="3"/>
  <c r="D113" i="3"/>
  <c r="D26" i="1"/>
  <c r="D27" i="1"/>
  <c r="I135" i="3"/>
  <c r="D88" i="1"/>
  <c r="D76" i="1"/>
  <c r="D89" i="1"/>
  <c r="J76" i="1"/>
  <c r="G75" i="1"/>
  <c r="D75" i="1"/>
  <c r="G76" i="1"/>
  <c r="I138" i="3"/>
  <c r="D63" i="3"/>
  <c r="C239" i="10" l="1"/>
  <c r="D730" i="3" s="1"/>
  <c r="C28" i="10"/>
  <c r="Y475" i="3" s="1"/>
  <c r="D623" i="3"/>
  <c r="D332" i="1"/>
  <c r="BA105" i="10"/>
  <c r="AX105" i="10"/>
  <c r="R316" i="10" s="1"/>
  <c r="C47" i="10"/>
  <c r="D119" i="3" s="1"/>
  <c r="C46" i="10"/>
  <c r="D116" i="3" s="1"/>
  <c r="C94" i="10"/>
  <c r="D269" i="3" s="1"/>
  <c r="C62" i="10"/>
  <c r="C99" i="10"/>
  <c r="D284" i="3" s="1"/>
  <c r="C63" i="10"/>
  <c r="C91" i="10"/>
  <c r="D260" i="3" s="1"/>
  <c r="C75" i="10"/>
  <c r="D208" i="3" s="1"/>
  <c r="C89" i="10"/>
  <c r="D254" i="3" s="1"/>
  <c r="C87" i="10"/>
  <c r="D248" i="3" s="1"/>
  <c r="C53" i="10"/>
  <c r="D131" i="1" s="1"/>
  <c r="C10" i="10"/>
  <c r="C90" i="10"/>
  <c r="D257" i="3" s="1"/>
  <c r="C98" i="10"/>
  <c r="D281" i="3" s="1"/>
  <c r="C105" i="10"/>
  <c r="D306" i="3" s="1"/>
  <c r="C95" i="10"/>
  <c r="D272" i="3" s="1"/>
  <c r="C107" i="10"/>
  <c r="C54" i="10"/>
  <c r="BE105" i="10"/>
  <c r="BD105" i="10"/>
  <c r="BC105" i="10"/>
  <c r="BI105" i="10"/>
  <c r="BB105" i="10"/>
  <c r="BH105" i="10"/>
  <c r="BG105" i="10"/>
  <c r="BF105" i="10"/>
  <c r="BE115" i="10"/>
  <c r="BB115" i="10"/>
  <c r="BF115" i="10"/>
  <c r="BI115" i="10"/>
  <c r="BD115" i="10"/>
  <c r="BH115" i="10"/>
  <c r="BC115" i="10"/>
  <c r="BG115" i="10"/>
  <c r="AS48" i="10"/>
  <c r="BI249" i="10"/>
  <c r="BH249" i="10"/>
  <c r="BF249" i="10"/>
  <c r="BG249" i="10"/>
  <c r="BB249" i="10"/>
  <c r="BE249" i="10"/>
  <c r="BD249" i="10"/>
  <c r="BC249" i="10"/>
  <c r="BE253" i="10"/>
  <c r="BD253" i="10"/>
  <c r="BC253" i="10"/>
  <c r="BF253" i="10"/>
  <c r="BI253" i="10"/>
  <c r="BB253" i="10"/>
  <c r="BH253" i="10"/>
  <c r="BG253" i="10"/>
  <c r="AP293" i="10"/>
  <c r="AQ293" i="10" s="1"/>
  <c r="AS293" i="10" s="1"/>
  <c r="AW293" i="10" s="1"/>
  <c r="C152" i="10"/>
  <c r="D451" i="3" s="1"/>
  <c r="C163" i="10"/>
  <c r="D484" i="3" s="1"/>
  <c r="C182" i="10"/>
  <c r="C240" i="10"/>
  <c r="D733" i="3" s="1"/>
  <c r="C161" i="10"/>
  <c r="D478" i="3" s="1"/>
  <c r="C203" i="10"/>
  <c r="D614" i="3" s="1"/>
  <c r="C160" i="10"/>
  <c r="D475" i="3" s="1"/>
  <c r="C201" i="10"/>
  <c r="D608" i="3" s="1"/>
  <c r="C183" i="10"/>
  <c r="D550" i="3" s="1"/>
  <c r="D403" i="3"/>
  <c r="C170" i="10"/>
  <c r="D511" i="3" s="1"/>
  <c r="C184" i="10"/>
  <c r="D553" i="3" s="1"/>
  <c r="C214" i="10"/>
  <c r="D655" i="3" s="1"/>
  <c r="C169" i="10"/>
  <c r="D508" i="3" s="1"/>
  <c r="C296" i="10"/>
  <c r="D906" i="3" s="1"/>
  <c r="C191" i="10"/>
  <c r="D578" i="3" s="1"/>
  <c r="C151" i="10"/>
  <c r="D448" i="3" s="1"/>
  <c r="C215" i="10"/>
  <c r="D658" i="3" s="1"/>
  <c r="C146" i="10"/>
  <c r="D433" i="3" s="1"/>
  <c r="C293" i="10"/>
  <c r="D897" i="3" s="1"/>
  <c r="C162" i="10"/>
  <c r="D481" i="3" s="1"/>
  <c r="C228" i="10"/>
  <c r="D697" i="3" s="1"/>
  <c r="C144" i="10"/>
  <c r="D427" i="3" s="1"/>
  <c r="C164" i="10"/>
  <c r="D487" i="3" s="1"/>
  <c r="C197" i="10"/>
  <c r="D596" i="3" s="1"/>
  <c r="C196" i="10"/>
  <c r="D317" i="1" s="1"/>
  <c r="C216" i="10"/>
  <c r="D661" i="3" s="1"/>
  <c r="C217" i="10"/>
  <c r="D664" i="3" s="1"/>
  <c r="C223" i="10"/>
  <c r="D682" i="3" s="1"/>
  <c r="C238" i="10"/>
  <c r="D727" i="3" s="1"/>
  <c r="AS26" i="10"/>
  <c r="AT105" i="10"/>
  <c r="Q316" i="10" s="1"/>
  <c r="AS27" i="10"/>
  <c r="AS51" i="10"/>
  <c r="AP169" i="10"/>
  <c r="AQ169" i="10" s="1"/>
  <c r="AS169" i="10" s="1"/>
  <c r="AP258" i="10"/>
  <c r="AQ258" i="10" s="1"/>
  <c r="AS258" i="10" s="1"/>
  <c r="AW258" i="10" s="1"/>
  <c r="AP267" i="10"/>
  <c r="AQ267" i="10" s="1"/>
  <c r="AS267" i="10" s="1"/>
  <c r="AW267" i="10" s="1"/>
  <c r="BA267" i="10" s="1"/>
  <c r="AP233" i="10"/>
  <c r="AQ233" i="10" s="1"/>
  <c r="AS233" i="10" s="1"/>
  <c r="AP196" i="10"/>
  <c r="AQ196" i="10" s="1"/>
  <c r="AS196" i="10" s="1"/>
  <c r="AW196" i="10" s="1"/>
  <c r="AP225" i="10"/>
  <c r="AQ225" i="10" s="1"/>
  <c r="AS225" i="10" s="1"/>
  <c r="AP164" i="10"/>
  <c r="AQ164" i="10" s="1"/>
  <c r="AS164" i="10" s="1"/>
  <c r="AP142" i="10"/>
  <c r="AQ142" i="10" s="1"/>
  <c r="AS142" i="10" s="1"/>
  <c r="AP224" i="10"/>
  <c r="AQ224" i="10" s="1"/>
  <c r="AS224" i="10" s="1"/>
  <c r="AP153" i="10"/>
  <c r="D309" i="3"/>
  <c r="L176" i="1"/>
  <c r="D203" i="1"/>
  <c r="D204" i="1"/>
  <c r="D214" i="1"/>
  <c r="D202" i="1"/>
  <c r="D86" i="3"/>
  <c r="D150" i="3"/>
  <c r="L177" i="1"/>
  <c r="E187" i="1"/>
  <c r="J165" i="1"/>
  <c r="AX253" i="10" l="1"/>
  <c r="R328" i="10" s="1"/>
  <c r="Y338" i="10"/>
  <c r="Y340" i="10" s="1"/>
  <c r="S395" i="10"/>
  <c r="Y436" i="3"/>
  <c r="Y68" i="3"/>
  <c r="Y593" i="3"/>
  <c r="Y605" i="3"/>
  <c r="AY107" i="10"/>
  <c r="T316" i="10" s="1"/>
  <c r="Y395" i="10" s="1"/>
  <c r="AY108" i="10"/>
  <c r="U316" i="10" s="1"/>
  <c r="AE338" i="10" s="1"/>
  <c r="D593" i="3"/>
  <c r="AZ293" i="10"/>
  <c r="AX286" i="10"/>
  <c r="R329" i="10" s="1"/>
  <c r="BA196" i="10"/>
  <c r="AY187" i="10" s="1"/>
  <c r="U320" i="10" s="1"/>
  <c r="AY183" i="10"/>
  <c r="AX183" i="10"/>
  <c r="R321" i="10" s="1"/>
  <c r="BA258" i="10"/>
  <c r="AT224" i="10"/>
  <c r="Q326" i="10" s="1"/>
  <c r="AW224" i="10"/>
  <c r="AX224" i="10" s="1"/>
  <c r="M338" i="10"/>
  <c r="D172" i="3"/>
  <c r="D143" i="1"/>
  <c r="D169" i="3"/>
  <c r="D139" i="1"/>
  <c r="D141" i="3"/>
  <c r="D102" i="1"/>
  <c r="D144" i="3"/>
  <c r="D105" i="1"/>
  <c r="AT225" i="10"/>
  <c r="Q327" i="10" s="1"/>
  <c r="AU224" i="10"/>
  <c r="Q325" i="10" s="1"/>
  <c r="G570" i="10" s="1"/>
  <c r="AS49" i="10"/>
  <c r="BH225" i="10"/>
  <c r="BI225" i="10"/>
  <c r="BC225" i="10"/>
  <c r="BB225" i="10"/>
  <c r="BF225" i="10"/>
  <c r="BE225" i="10"/>
  <c r="BG225" i="10"/>
  <c r="BD225" i="10"/>
  <c r="AS50" i="10"/>
  <c r="BI233" i="10"/>
  <c r="BF233" i="10"/>
  <c r="BH233" i="10"/>
  <c r="BG233" i="10"/>
  <c r="BE233" i="10"/>
  <c r="BD233" i="10"/>
  <c r="BC233" i="10"/>
  <c r="BB233" i="10"/>
  <c r="AS35" i="10"/>
  <c r="BI169" i="10"/>
  <c r="BE169" i="10"/>
  <c r="BF169" i="10"/>
  <c r="BH169" i="10"/>
  <c r="BD169" i="10"/>
  <c r="BG169" i="10"/>
  <c r="BC169" i="10"/>
  <c r="BB169" i="10"/>
  <c r="BI196" i="10"/>
  <c r="BH196" i="10"/>
  <c r="BG196" i="10"/>
  <c r="BF196" i="10"/>
  <c r="BD196" i="10"/>
  <c r="BD311" i="10" s="1"/>
  <c r="BC196" i="10"/>
  <c r="BB196" i="10"/>
  <c r="BE196" i="10"/>
  <c r="BE311" i="10" s="1"/>
  <c r="AS54" i="10"/>
  <c r="BE267" i="10"/>
  <c r="BD267" i="10"/>
  <c r="BG267" i="10"/>
  <c r="BF267" i="10"/>
  <c r="BI267" i="10"/>
  <c r="BC267" i="10"/>
  <c r="BB267" i="10"/>
  <c r="BH267" i="10"/>
  <c r="BI293" i="10"/>
  <c r="BE293" i="10"/>
  <c r="BF293" i="10"/>
  <c r="BH293" i="10"/>
  <c r="BD293" i="10"/>
  <c r="BB293" i="10"/>
  <c r="BG293" i="10"/>
  <c r="BC293" i="10"/>
  <c r="BE224" i="10"/>
  <c r="BD224" i="10"/>
  <c r="T334" i="10" s="1"/>
  <c r="BB224" i="10"/>
  <c r="R334" i="10" s="1"/>
  <c r="BC224" i="10"/>
  <c r="S334" i="10" s="1"/>
  <c r="BI224" i="10"/>
  <c r="BG224" i="10"/>
  <c r="BH224" i="10"/>
  <c r="BF224" i="10"/>
  <c r="AS52" i="10"/>
  <c r="BE258" i="10"/>
  <c r="BB258" i="10"/>
  <c r="BD258" i="10"/>
  <c r="BI258" i="10"/>
  <c r="BC258" i="10"/>
  <c r="BH258" i="10"/>
  <c r="BF258" i="10"/>
  <c r="BG258" i="10"/>
  <c r="AS31" i="10"/>
  <c r="BE142" i="10"/>
  <c r="BG142" i="10"/>
  <c r="BB142" i="10"/>
  <c r="BI142" i="10"/>
  <c r="BH142" i="10"/>
  <c r="BD142" i="10"/>
  <c r="BC142" i="10"/>
  <c r="BF142" i="10"/>
  <c r="AS34" i="10"/>
  <c r="BI164" i="10"/>
  <c r="BE164" i="10"/>
  <c r="BH164" i="10"/>
  <c r="BB164" i="10"/>
  <c r="BD164" i="10"/>
  <c r="BC164" i="10"/>
  <c r="BG164" i="10"/>
  <c r="BF164" i="10"/>
  <c r="AT286" i="10"/>
  <c r="Q329" i="10" s="1"/>
  <c r="K361" i="10" s="1"/>
  <c r="AS58" i="10"/>
  <c r="D547" i="3"/>
  <c r="D312" i="3"/>
  <c r="AS46" i="10"/>
  <c r="AT253" i="10"/>
  <c r="Q328" i="10" s="1"/>
  <c r="L361" i="10" s="1"/>
  <c r="AS40" i="10"/>
  <c r="AU183" i="10"/>
  <c r="Q320" i="10" s="1"/>
  <c r="G569" i="10" s="1"/>
  <c r="AT183" i="10"/>
  <c r="Q321" i="10" s="1"/>
  <c r="M349" i="10" s="1"/>
  <c r="AQ153" i="10"/>
  <c r="AS153" i="10" s="1"/>
  <c r="AW153" i="10" s="1"/>
  <c r="AQ81" i="10"/>
  <c r="AS81" i="10" s="1"/>
  <c r="AW81" i="10" s="1"/>
  <c r="AQ73" i="10"/>
  <c r="AS73" i="10" s="1"/>
  <c r="AW73" i="10" s="1"/>
  <c r="AQ93" i="10"/>
  <c r="AS93" i="10" s="1"/>
  <c r="AQ133" i="10"/>
  <c r="AS133" i="10" s="1"/>
  <c r="BH317" i="10" l="1"/>
  <c r="U94" i="4" s="1"/>
  <c r="BI317" i="10"/>
  <c r="U100" i="4" s="1"/>
  <c r="BH316" i="10"/>
  <c r="BH311" i="10"/>
  <c r="E93" i="4" s="1"/>
  <c r="BI311" i="10"/>
  <c r="E273" i="4" s="1"/>
  <c r="BI316" i="10"/>
  <c r="BH312" i="10"/>
  <c r="I569" i="10"/>
  <c r="M383" i="10"/>
  <c r="S383" i="10" s="1"/>
  <c r="I570" i="10"/>
  <c r="AE344" i="10"/>
  <c r="AE342" i="10"/>
  <c r="AE339" i="10"/>
  <c r="AE341" i="10"/>
  <c r="AE346" i="10"/>
  <c r="AE340" i="10"/>
  <c r="AE343" i="10"/>
  <c r="AE345" i="10"/>
  <c r="Y341" i="10"/>
  <c r="Y344" i="10"/>
  <c r="Y342" i="10"/>
  <c r="Y339" i="10"/>
  <c r="Y343" i="10" s="1"/>
  <c r="Y345" i="10"/>
  <c r="M401" i="10"/>
  <c r="N361" i="10"/>
  <c r="Y346" i="10"/>
  <c r="W361" i="10"/>
  <c r="W367" i="10" s="1"/>
  <c r="S403" i="10"/>
  <c r="X361" i="10"/>
  <c r="X362" i="10" s="1"/>
  <c r="S402" i="10"/>
  <c r="Y349" i="10"/>
  <c r="Y351" i="10" s="1"/>
  <c r="S398" i="10"/>
  <c r="AY255" i="10"/>
  <c r="T328" i="10" s="1"/>
  <c r="Y399" i="10" s="1"/>
  <c r="AY256" i="10"/>
  <c r="U328" i="10" s="1"/>
  <c r="AD361" i="10" s="1"/>
  <c r="AY287" i="10"/>
  <c r="S329" i="10" s="1"/>
  <c r="AE401" i="10" s="1"/>
  <c r="AY288" i="10"/>
  <c r="U329" i="10" s="1"/>
  <c r="AC361" i="10" s="1"/>
  <c r="AY185" i="10"/>
  <c r="T321" i="10" s="1"/>
  <c r="Y396" i="10" s="1"/>
  <c r="AY186" i="10"/>
  <c r="U321" i="10" s="1"/>
  <c r="AE349" i="10" s="1"/>
  <c r="AZ153" i="10"/>
  <c r="AX137" i="10"/>
  <c r="R318" i="10" s="1"/>
  <c r="Q333" i="10"/>
  <c r="R320" i="10"/>
  <c r="G572" i="10" s="1"/>
  <c r="AZ81" i="10"/>
  <c r="BA81" i="10"/>
  <c r="AY224" i="10"/>
  <c r="R326" i="10"/>
  <c r="BA224" i="10"/>
  <c r="BA73" i="10"/>
  <c r="AZ73" i="10"/>
  <c r="AX73" i="10"/>
  <c r="R315" i="10" s="1"/>
  <c r="AY73" i="10"/>
  <c r="AY74" i="10"/>
  <c r="M402" i="10"/>
  <c r="M361" i="10"/>
  <c r="L383" i="10"/>
  <c r="R383" i="10" s="1"/>
  <c r="AS23" i="10"/>
  <c r="AS22" i="10"/>
  <c r="D910" i="3" s="1"/>
  <c r="AU74" i="10"/>
  <c r="N383" i="10" s="1"/>
  <c r="T383" i="10" s="1"/>
  <c r="BI312" i="10"/>
  <c r="BE133" i="10"/>
  <c r="BI133" i="10"/>
  <c r="BD133" i="10"/>
  <c r="BC133" i="10"/>
  <c r="BB133" i="10"/>
  <c r="BH133" i="10"/>
  <c r="BF133" i="10"/>
  <c r="BG133" i="10"/>
  <c r="AS33" i="10"/>
  <c r="BI153" i="10"/>
  <c r="BH153" i="10"/>
  <c r="BF153" i="10"/>
  <c r="BG153" i="10"/>
  <c r="BE153" i="10"/>
  <c r="BD153" i="10"/>
  <c r="BC153" i="10"/>
  <c r="BB153" i="10"/>
  <c r="BI81" i="10"/>
  <c r="BH81" i="10"/>
  <c r="BC81" i="10"/>
  <c r="BB81" i="10"/>
  <c r="BG81" i="10"/>
  <c r="BF81" i="10"/>
  <c r="BE81" i="10"/>
  <c r="BD81" i="10"/>
  <c r="BI93" i="10"/>
  <c r="BE93" i="10"/>
  <c r="BH93" i="10"/>
  <c r="BF93" i="10"/>
  <c r="BB93" i="10"/>
  <c r="BG93" i="10"/>
  <c r="BD93" i="10"/>
  <c r="BC93" i="10"/>
  <c r="BI73" i="10"/>
  <c r="BE73" i="10"/>
  <c r="BF73" i="10"/>
  <c r="BB73" i="10"/>
  <c r="R332" i="10" s="1"/>
  <c r="BH73" i="10"/>
  <c r="BD73" i="10"/>
  <c r="T332" i="10" s="1"/>
  <c r="BG73" i="10"/>
  <c r="BC73" i="10"/>
  <c r="S332" i="10" s="1"/>
  <c r="E570" i="10"/>
  <c r="E569" i="10"/>
  <c r="AU73" i="10"/>
  <c r="AT123" i="10"/>
  <c r="Q317" i="10" s="1"/>
  <c r="L338" i="10" s="1"/>
  <c r="AS29" i="10"/>
  <c r="AT73" i="10"/>
  <c r="AT137" i="10"/>
  <c r="Q318" i="10" s="1"/>
  <c r="K338" i="10" s="1"/>
  <c r="BE312" i="10"/>
  <c r="BD312" i="10"/>
  <c r="AS25" i="10"/>
  <c r="AS24" i="10"/>
  <c r="E446" i="4" l="1"/>
  <c r="E99" i="4"/>
  <c r="E440" i="4"/>
  <c r="E445" i="4"/>
  <c r="U99" i="4"/>
  <c r="E439" i="4"/>
  <c r="U93" i="4"/>
  <c r="E267" i="4"/>
  <c r="BH310" i="10"/>
  <c r="I572" i="10"/>
  <c r="AC365" i="10"/>
  <c r="AC366" i="10"/>
  <c r="AC368" i="10"/>
  <c r="AC367" i="10"/>
  <c r="AC362" i="10"/>
  <c r="AC369" i="10"/>
  <c r="AC364" i="10"/>
  <c r="AC363" i="10"/>
  <c r="AE353" i="10"/>
  <c r="AE352" i="10"/>
  <c r="AE355" i="10"/>
  <c r="AE358" i="10"/>
  <c r="AE351" i="10"/>
  <c r="AE357" i="10"/>
  <c r="AE350" i="10"/>
  <c r="AE356" i="10"/>
  <c r="AD365" i="10"/>
  <c r="AD362" i="10"/>
  <c r="AD369" i="10"/>
  <c r="AD364" i="10"/>
  <c r="AD366" i="10" s="1"/>
  <c r="AD368" i="10"/>
  <c r="AD363" i="10"/>
  <c r="AD367" i="10"/>
  <c r="Y358" i="10"/>
  <c r="W364" i="10"/>
  <c r="W362" i="10"/>
  <c r="W368" i="10"/>
  <c r="Y350" i="10"/>
  <c r="W369" i="10"/>
  <c r="W365" i="10"/>
  <c r="W363" i="10"/>
  <c r="Y352" i="10"/>
  <c r="Y356" i="10"/>
  <c r="Y353" i="10"/>
  <c r="Y357" i="10"/>
  <c r="Z338" i="10"/>
  <c r="Z339" i="10" s="1"/>
  <c r="S394" i="10"/>
  <c r="W338" i="10"/>
  <c r="W341" i="10" s="1"/>
  <c r="S397" i="10"/>
  <c r="X365" i="10"/>
  <c r="X363" i="10"/>
  <c r="X368" i="10"/>
  <c r="X364" i="10"/>
  <c r="X369" i="10"/>
  <c r="X367" i="10"/>
  <c r="Z361" i="10"/>
  <c r="Z365" i="10" s="1"/>
  <c r="S400" i="10"/>
  <c r="AY79" i="10"/>
  <c r="U314" i="10" s="1"/>
  <c r="AY231" i="10"/>
  <c r="U325" i="10" s="1"/>
  <c r="AY230" i="10"/>
  <c r="U326" i="10" s="1"/>
  <c r="AF361" i="10" s="1"/>
  <c r="AY138" i="10"/>
  <c r="S318" i="10" s="1"/>
  <c r="AE396" i="10" s="1"/>
  <c r="AY139" i="10"/>
  <c r="U318" i="10" s="1"/>
  <c r="AC338" i="10" s="1"/>
  <c r="AY78" i="10"/>
  <c r="U315" i="10" s="1"/>
  <c r="AF338" i="10" s="1"/>
  <c r="AY75" i="10"/>
  <c r="S315" i="10" s="1"/>
  <c r="AE393" i="10" s="1"/>
  <c r="E94" i="4"/>
  <c r="E268" i="4"/>
  <c r="E100" i="4"/>
  <c r="E274" i="4"/>
  <c r="AY76" i="10"/>
  <c r="T315" i="10" s="1"/>
  <c r="Y394" i="10" s="1"/>
  <c r="X383" i="10"/>
  <c r="E572" i="10"/>
  <c r="T326" i="10"/>
  <c r="Y398" i="10" s="1"/>
  <c r="Q334" i="10"/>
  <c r="R325" i="10"/>
  <c r="G573" i="10" s="1"/>
  <c r="Z383" i="10"/>
  <c r="R312" i="10"/>
  <c r="E579" i="10" s="1"/>
  <c r="Q331" i="10"/>
  <c r="R314" i="10"/>
  <c r="G571" i="10" s="1"/>
  <c r="Q332" i="10"/>
  <c r="Q312" i="10"/>
  <c r="Q349" i="10"/>
  <c r="K350" i="10"/>
  <c r="Q350" i="10" s="1"/>
  <c r="BI310" i="10"/>
  <c r="BE310" i="10"/>
  <c r="BD310" i="10"/>
  <c r="R349" i="10"/>
  <c r="Q315" i="10"/>
  <c r="Y355" i="10" l="1"/>
  <c r="W366" i="10"/>
  <c r="I571" i="10"/>
  <c r="I579" i="10"/>
  <c r="G579" i="10"/>
  <c r="I573" i="10"/>
  <c r="AF344" i="10"/>
  <c r="AF342" i="10"/>
  <c r="AF339" i="10"/>
  <c r="AF340" i="10"/>
  <c r="AF341" i="10"/>
  <c r="AF346" i="10"/>
  <c r="AF345" i="10"/>
  <c r="AF343" i="10"/>
  <c r="AC342" i="10"/>
  <c r="AC339" i="10"/>
  <c r="AC346" i="10"/>
  <c r="AC345" i="10"/>
  <c r="AC344" i="10"/>
  <c r="AC341" i="10"/>
  <c r="AC343" i="10"/>
  <c r="AC340" i="10"/>
  <c r="AF365" i="10"/>
  <c r="AF369" i="10"/>
  <c r="AF368" i="10"/>
  <c r="AF364" i="10"/>
  <c r="AF362" i="10"/>
  <c r="AF363" i="10"/>
  <c r="AF367" i="10"/>
  <c r="Z341" i="10"/>
  <c r="Z342" i="10"/>
  <c r="Z340" i="10"/>
  <c r="W342" i="10"/>
  <c r="Z369" i="10"/>
  <c r="Z364" i="10"/>
  <c r="Z368" i="10"/>
  <c r="Z363" i="10"/>
  <c r="Z367" i="10"/>
  <c r="Z362" i="10"/>
  <c r="Z346" i="10"/>
  <c r="Z344" i="10"/>
  <c r="Z345" i="10"/>
  <c r="W344" i="10"/>
  <c r="W346" i="10"/>
  <c r="W340" i="10"/>
  <c r="W339" i="10"/>
  <c r="W343" i="10" s="1"/>
  <c r="W345" i="10"/>
  <c r="X366" i="10"/>
  <c r="C572" i="10"/>
  <c r="U142" i="4" s="1"/>
  <c r="E98" i="4"/>
  <c r="E272" i="4"/>
  <c r="E92" i="4"/>
  <c r="E266" i="4"/>
  <c r="X387" i="10"/>
  <c r="X389" i="10"/>
  <c r="X385" i="10"/>
  <c r="X391" i="10"/>
  <c r="X386" i="10"/>
  <c r="X390" i="10"/>
  <c r="X384" i="10"/>
  <c r="Y383" i="10"/>
  <c r="E573" i="10"/>
  <c r="W383" i="10"/>
  <c r="E571" i="10"/>
  <c r="Z387" i="10"/>
  <c r="Z384" i="10"/>
  <c r="Z390" i="10"/>
  <c r="Z389" i="10"/>
  <c r="Z391" i="10"/>
  <c r="Z386" i="10"/>
  <c r="Z385" i="10"/>
  <c r="M394" i="10"/>
  <c r="N338" i="10"/>
  <c r="E578" i="10"/>
  <c r="C578" i="10" s="1"/>
  <c r="M350" i="10"/>
  <c r="S350" i="10" s="1"/>
  <c r="T361" i="10"/>
  <c r="S338" i="10"/>
  <c r="S349" i="10"/>
  <c r="M366" i="10"/>
  <c r="Q314" i="10"/>
  <c r="G568" i="10" s="1"/>
  <c r="M403" i="10"/>
  <c r="M399" i="10"/>
  <c r="M395" i="10"/>
  <c r="AF366" i="10" l="1"/>
  <c r="K383" i="10"/>
  <c r="Q383" i="10" s="1"/>
  <c r="I568" i="10"/>
  <c r="Z343" i="10"/>
  <c r="Z366" i="10"/>
  <c r="Z388" i="10"/>
  <c r="X388" i="10"/>
  <c r="G375" i="4"/>
  <c r="U488" i="4"/>
  <c r="U29" i="4"/>
  <c r="C571" i="10"/>
  <c r="U462" i="4" s="1"/>
  <c r="C573" i="10"/>
  <c r="U503" i="4" s="1"/>
  <c r="Y386" i="10"/>
  <c r="Y390" i="10"/>
  <c r="Y384" i="10"/>
  <c r="Y391" i="10"/>
  <c r="Y385" i="10"/>
  <c r="Y387" i="10"/>
  <c r="Y389" i="10"/>
  <c r="W389" i="10"/>
  <c r="W391" i="10"/>
  <c r="W387" i="10"/>
  <c r="W390" i="10"/>
  <c r="W386" i="10"/>
  <c r="W385" i="10"/>
  <c r="W384" i="10"/>
  <c r="G33" i="4"/>
  <c r="G351" i="4"/>
  <c r="G207" i="4"/>
  <c r="G179" i="4"/>
  <c r="Q338" i="10"/>
  <c r="R350" i="10"/>
  <c r="Q361" i="10"/>
  <c r="S361" i="10"/>
  <c r="E568" i="10"/>
  <c r="M372" i="10"/>
  <c r="M404" i="10"/>
  <c r="K365" i="10"/>
  <c r="Q365" i="10" s="1"/>
  <c r="K369" i="10"/>
  <c r="Q369" i="10" s="1"/>
  <c r="K364" i="10"/>
  <c r="Q364" i="10" s="1"/>
  <c r="K368" i="10"/>
  <c r="Q368" i="10" s="1"/>
  <c r="K363" i="10"/>
  <c r="Q363" i="10" s="1"/>
  <c r="K367" i="10"/>
  <c r="Q367" i="10" s="1"/>
  <c r="K362" i="10"/>
  <c r="Q362" i="10" s="1"/>
  <c r="K340" i="10"/>
  <c r="K344" i="10"/>
  <c r="Q344" i="10" s="1"/>
  <c r="K341" i="10"/>
  <c r="Q341" i="10" s="1"/>
  <c r="K345" i="10"/>
  <c r="Q345" i="10" s="1"/>
  <c r="K346" i="10"/>
  <c r="Q346" i="10" s="1"/>
  <c r="M344" i="10"/>
  <c r="S344" i="10" s="1"/>
  <c r="M345" i="10"/>
  <c r="S345" i="10" s="1"/>
  <c r="M341" i="10"/>
  <c r="S341" i="10" s="1"/>
  <c r="M340" i="10"/>
  <c r="S340" i="10" s="1"/>
  <c r="M346" i="10"/>
  <c r="S346" i="10" s="1"/>
  <c r="M398" i="10"/>
  <c r="M397" i="10"/>
  <c r="K339" i="10"/>
  <c r="Q339" i="10" s="1"/>
  <c r="K342" i="10"/>
  <c r="Q342" i="10" s="1"/>
  <c r="M339" i="10"/>
  <c r="M342" i="10"/>
  <c r="S342" i="10" s="1"/>
  <c r="K351" i="10"/>
  <c r="Q351" i="10" s="1"/>
  <c r="W388" i="10" l="1"/>
  <c r="Y388" i="10"/>
  <c r="U157" i="4"/>
  <c r="G377" i="4"/>
  <c r="U31" i="4"/>
  <c r="U27" i="4"/>
  <c r="G373" i="4"/>
  <c r="U116" i="4"/>
  <c r="S339" i="10"/>
  <c r="M343" i="10"/>
  <c r="S343" i="10" s="1"/>
  <c r="K343" i="10"/>
  <c r="Q343" i="10" s="1"/>
  <c r="T338" i="10"/>
  <c r="N346" i="10"/>
  <c r="T346" i="10" s="1"/>
  <c r="N345" i="10"/>
  <c r="T345" i="10" s="1"/>
  <c r="N344" i="10"/>
  <c r="T344" i="10" s="1"/>
  <c r="K366" i="10"/>
  <c r="Q366" i="10" s="1"/>
  <c r="R361" i="10"/>
  <c r="Q340" i="10"/>
  <c r="C568" i="10"/>
  <c r="C570" i="10"/>
  <c r="L364" i="10"/>
  <c r="R364" i="10" s="1"/>
  <c r="L367" i="10"/>
  <c r="R367" i="10" s="1"/>
  <c r="L362" i="10"/>
  <c r="R362" i="10" s="1"/>
  <c r="L368" i="10"/>
  <c r="R368" i="10" s="1"/>
  <c r="L369" i="10"/>
  <c r="R369" i="10" s="1"/>
  <c r="L365" i="10"/>
  <c r="R365" i="10" s="1"/>
  <c r="L363" i="10"/>
  <c r="R363" i="10" s="1"/>
  <c r="N340" i="10"/>
  <c r="T340" i="10" s="1"/>
  <c r="N339" i="10"/>
  <c r="T339" i="10" s="1"/>
  <c r="N341" i="10"/>
  <c r="T341" i="10" s="1"/>
  <c r="N342" i="10"/>
  <c r="T342" i="10" s="1"/>
  <c r="M391" i="10"/>
  <c r="S391" i="10" s="1"/>
  <c r="M385" i="10"/>
  <c r="S385" i="10" s="1"/>
  <c r="M390" i="10"/>
  <c r="S390" i="10" s="1"/>
  <c r="M384" i="10"/>
  <c r="S384" i="10" s="1"/>
  <c r="M389" i="10"/>
  <c r="S389" i="10" s="1"/>
  <c r="M387" i="10"/>
  <c r="S387" i="10" s="1"/>
  <c r="M386" i="10"/>
  <c r="S386" i="10" s="1"/>
  <c r="K356" i="10"/>
  <c r="Q356" i="10" s="1"/>
  <c r="K353" i="10"/>
  <c r="Q353" i="10" s="1"/>
  <c r="K358" i="10"/>
  <c r="Q358" i="10" s="1"/>
  <c r="K352" i="10"/>
  <c r="K357" i="10"/>
  <c r="Q357" i="10" s="1"/>
  <c r="M356" i="10"/>
  <c r="S356" i="10" s="1"/>
  <c r="M353" i="10"/>
  <c r="S353" i="10" s="1"/>
  <c r="M358" i="10"/>
  <c r="S358" i="10" s="1"/>
  <c r="M352" i="10"/>
  <c r="M355" i="10" s="1"/>
  <c r="M357" i="10"/>
  <c r="S357" i="10" s="1"/>
  <c r="M351" i="10"/>
  <c r="S351" i="10" s="1"/>
  <c r="Q352" i="10" l="1"/>
  <c r="K355" i="10"/>
  <c r="Q355" i="10" s="1"/>
  <c r="G205" i="4"/>
  <c r="G329" i="4"/>
  <c r="G116" i="4"/>
  <c r="G290" i="4"/>
  <c r="G201" i="4"/>
  <c r="N343" i="10"/>
  <c r="T343" i="10" s="1"/>
  <c r="L366" i="10"/>
  <c r="R366" i="10" s="1"/>
  <c r="S352" i="10"/>
  <c r="S355" i="10"/>
  <c r="G27" i="4"/>
  <c r="G31" i="4"/>
  <c r="G157" i="4"/>
  <c r="M388" i="10"/>
  <c r="S388" i="10" s="1"/>
  <c r="N365" i="10"/>
  <c r="T365" i="10" s="1"/>
  <c r="N364" i="10"/>
  <c r="T364" i="10" s="1"/>
  <c r="N368" i="10"/>
  <c r="T368" i="10" s="1"/>
  <c r="N363" i="10"/>
  <c r="T363" i="10" s="1"/>
  <c r="N367" i="10"/>
  <c r="T367" i="10" s="1"/>
  <c r="N362" i="10"/>
  <c r="N369" i="10"/>
  <c r="T369" i="10" s="1"/>
  <c r="M364" i="10"/>
  <c r="S364" i="10" s="1"/>
  <c r="M367" i="10"/>
  <c r="S367" i="10" s="1"/>
  <c r="M362" i="10"/>
  <c r="M365" i="10"/>
  <c r="S365" i="10" s="1"/>
  <c r="M369" i="10"/>
  <c r="S369" i="10" s="1"/>
  <c r="M363" i="10"/>
  <c r="S363" i="10" s="1"/>
  <c r="M368" i="10"/>
  <c r="S368" i="10" s="1"/>
  <c r="N366" i="10" l="1"/>
  <c r="T366" i="10" s="1"/>
  <c r="S362" i="10"/>
  <c r="S366" i="10"/>
  <c r="T362" i="10"/>
  <c r="K391" i="10"/>
  <c r="Q391" i="10" s="1"/>
  <c r="K385" i="10"/>
  <c r="Q385" i="10" s="1"/>
  <c r="K384" i="10"/>
  <c r="Q384" i="10" s="1"/>
  <c r="K390" i="10"/>
  <c r="Q390" i="10" s="1"/>
  <c r="K387" i="10"/>
  <c r="Q387" i="10" s="1"/>
  <c r="K389" i="10"/>
  <c r="Q389" i="10" s="1"/>
  <c r="K386" i="10"/>
  <c r="Q386" i="10" s="1"/>
  <c r="M396" i="10"/>
  <c r="R338" i="10" l="1"/>
  <c r="L343" i="10"/>
  <c r="K388" i="10"/>
  <c r="Q388" i="10" s="1"/>
  <c r="L345" i="10"/>
  <c r="R345" i="10" s="1"/>
  <c r="L344" i="10"/>
  <c r="R344" i="10" s="1"/>
  <c r="L341" i="10"/>
  <c r="R341" i="10" s="1"/>
  <c r="L340" i="10"/>
  <c r="R340" i="10" s="1"/>
  <c r="L346" i="10"/>
  <c r="R346" i="10" s="1"/>
  <c r="L339" i="10"/>
  <c r="L342" i="10"/>
  <c r="R342" i="10" s="1"/>
  <c r="R339" i="10" l="1"/>
  <c r="R343" i="10"/>
  <c r="M373" i="10" l="1"/>
  <c r="M380" i="10"/>
  <c r="M374" i="10"/>
  <c r="M375" i="10"/>
  <c r="M379" i="10"/>
  <c r="M378" i="10"/>
  <c r="M376" i="10"/>
  <c r="M377" i="10" l="1"/>
  <c r="L372" i="10"/>
  <c r="C569" i="10"/>
  <c r="M400" i="10"/>
  <c r="G314" i="4" l="1"/>
  <c r="G203" i="4"/>
  <c r="L380" i="10"/>
  <c r="G29" i="4"/>
  <c r="G142" i="4"/>
  <c r="L378" i="10"/>
  <c r="L379" i="10"/>
  <c r="L375" i="10"/>
  <c r="L373" i="10"/>
  <c r="L374" i="10"/>
  <c r="L376" i="10"/>
  <c r="L386" i="10"/>
  <c r="R386" i="10" s="1"/>
  <c r="L385" i="10"/>
  <c r="R385" i="10" s="1"/>
  <c r="L390" i="10"/>
  <c r="R390" i="10" s="1"/>
  <c r="L384" i="10"/>
  <c r="R384" i="10" s="1"/>
  <c r="L389" i="10"/>
  <c r="R389" i="10" s="1"/>
  <c r="L391" i="10"/>
  <c r="R391" i="10" s="1"/>
  <c r="L387" i="10"/>
  <c r="R387" i="10" s="1"/>
  <c r="L356" i="10"/>
  <c r="R356" i="10" s="1"/>
  <c r="L351" i="10"/>
  <c r="R351" i="10" s="1"/>
  <c r="L353" i="10"/>
  <c r="R353" i="10" s="1"/>
  <c r="L358" i="10"/>
  <c r="R358" i="10" s="1"/>
  <c r="L357" i="10"/>
  <c r="R357" i="10" s="1"/>
  <c r="L352" i="10"/>
  <c r="L377" i="10" l="1"/>
  <c r="R352" i="10"/>
  <c r="L355" i="10"/>
  <c r="R355" i="10" s="1"/>
  <c r="L388" i="10"/>
  <c r="R388" i="10" s="1"/>
  <c r="K372" i="10"/>
  <c r="K379" i="10" l="1"/>
  <c r="K375" i="10"/>
  <c r="K378" i="10"/>
  <c r="K373" i="10"/>
  <c r="K374" i="10"/>
  <c r="K380" i="10"/>
  <c r="K376" i="10"/>
  <c r="K377" i="10" l="1"/>
  <c r="N385" i="10"/>
  <c r="T385" i="10" s="1"/>
  <c r="C579" i="10"/>
  <c r="U525" i="4" l="1"/>
  <c r="G379" i="4"/>
  <c r="U179" i="4"/>
  <c r="U33" i="4"/>
  <c r="N384" i="10"/>
  <c r="N386" i="10"/>
  <c r="T386" i="10" s="1"/>
  <c r="N389" i="10"/>
  <c r="T389" i="10" s="1"/>
  <c r="N391" i="10"/>
  <c r="T391" i="10" s="1"/>
  <c r="N390" i="10"/>
  <c r="T390" i="10" s="1"/>
  <c r="N387" i="10"/>
  <c r="T387" i="10" s="1"/>
  <c r="N388" i="10" l="1"/>
  <c r="T388" i="10" s="1"/>
  <c r="T38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Stephanie Wigger</author>
  </authors>
  <commentList>
    <comment ref="A1" authorId="0" shapeId="0" xr:uid="{EEC81620-C350-4E8F-BEA8-F904D6DAD3F5}">
      <text>
        <r>
          <rPr>
            <b/>
            <sz val="9"/>
            <color indexed="81"/>
            <rFont val="Segoe UI"/>
            <family val="2"/>
          </rPr>
          <t>Makro-Info:</t>
        </r>
        <r>
          <rPr>
            <sz val="9"/>
            <color indexed="81"/>
            <rFont val="Segoe UI"/>
            <family val="2"/>
          </rPr>
          <t xml:space="preserve">
Falls Sie eine Meldung erhalten, dass die Makros aus Sicherheitsgründen deaktiviert werden, können Sie diese bei den Dateieigenschaften wieder aktivieren:
1. Klicken Sie mit der </t>
        </r>
        <r>
          <rPr>
            <b/>
            <sz val="9"/>
            <color indexed="81"/>
            <rFont val="Segoe UI"/>
            <family val="2"/>
          </rPr>
          <t>rechten Maustaste</t>
        </r>
        <r>
          <rPr>
            <sz val="9"/>
            <color indexed="81"/>
            <rFont val="Segoe UI"/>
            <family val="2"/>
          </rPr>
          <t xml:space="preserve"> im Explorer auf den </t>
        </r>
        <r>
          <rPr>
            <b/>
            <sz val="9"/>
            <color indexed="81"/>
            <rFont val="Segoe UI"/>
            <family val="2"/>
          </rPr>
          <t>Ordner</t>
        </r>
        <r>
          <rPr>
            <sz val="9"/>
            <color indexed="81"/>
            <rFont val="Segoe UI"/>
            <family val="2"/>
          </rPr>
          <t xml:space="preserve">, wo die Excelliste abgespeichert ist.
2. Wählen Sie </t>
        </r>
        <r>
          <rPr>
            <b/>
            <sz val="9"/>
            <color indexed="81"/>
            <rFont val="Segoe UI"/>
            <family val="2"/>
          </rPr>
          <t xml:space="preserve">Eigenschaften - Allgemein - Attribute: </t>
        </r>
        <r>
          <rPr>
            <sz val="9"/>
            <color indexed="81"/>
            <rFont val="Segoe UI"/>
            <family val="2"/>
          </rPr>
          <t>«Schreibgeschützt entfernen»</t>
        </r>
        <r>
          <rPr>
            <b/>
            <sz val="9"/>
            <color indexed="81"/>
            <rFont val="Segoe UI"/>
            <family val="2"/>
          </rPr>
          <t xml:space="preserve">
</t>
        </r>
        <r>
          <rPr>
            <sz val="9"/>
            <color indexed="81"/>
            <rFont val="Segoe UI"/>
            <family val="2"/>
          </rPr>
          <t>3.</t>
        </r>
        <r>
          <rPr>
            <b/>
            <sz val="9"/>
            <color indexed="81"/>
            <rFont val="Segoe UI"/>
            <family val="2"/>
          </rPr>
          <t xml:space="preserve"> Auswahl bestätigen: «</t>
        </r>
        <r>
          <rPr>
            <sz val="9"/>
            <color indexed="81"/>
            <rFont val="Segoe UI"/>
            <family val="2"/>
          </rPr>
          <t xml:space="preserve">Änderungen für diesen Ordner, untergeordnete Ordner und Dateien übernehmen».
4. Excel öffnen und </t>
        </r>
        <r>
          <rPr>
            <b/>
            <sz val="9"/>
            <color indexed="81"/>
            <rFont val="Segoe UI"/>
            <family val="2"/>
          </rPr>
          <t>Makros</t>
        </r>
        <r>
          <rPr>
            <sz val="9"/>
            <color indexed="81"/>
            <rFont val="Segoe UI"/>
            <family val="2"/>
          </rPr>
          <t xml:space="preserve">: «Inhalt aktivieren» auswählen
Bei gewissen Computern kann man auch auf das Exceldokument klicken und bei </t>
        </r>
        <r>
          <rPr>
            <b/>
            <sz val="9"/>
            <color indexed="81"/>
            <rFont val="Segoe UI"/>
            <family val="2"/>
          </rPr>
          <t>Dateieigenschaften</t>
        </r>
        <r>
          <rPr>
            <sz val="9"/>
            <color indexed="81"/>
            <rFont val="Segoe UI"/>
            <family val="2"/>
          </rPr>
          <t xml:space="preserve"> unter </t>
        </r>
        <r>
          <rPr>
            <b/>
            <sz val="9"/>
            <color indexed="81"/>
            <rFont val="Segoe UI"/>
            <family val="2"/>
          </rPr>
          <t>Sicherheit</t>
        </r>
        <r>
          <rPr>
            <sz val="9"/>
            <color indexed="81"/>
            <rFont val="Segoe UI"/>
            <family val="2"/>
          </rPr>
          <t>: «Zulassen» anklicken.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tc={CDA133CB-86F0-4A28-9FF2-015A2175DDAE}</author>
    <author>tc={59DB1526-98EA-40AF-8E44-F7A90B7FE056}</author>
    <author>tc={E40D5350-9673-422C-B2DC-654C0D2E0682}</author>
    <author>tc={C14017B7-E398-4049-92FC-23C04FA86D76}</author>
    <author>tc={A25A1C41-D552-4D4E-8460-B102FEE8D54E}</author>
  </authors>
  <commentList>
    <comment ref="I35" authorId="0" shapeId="0" xr:uid="{CDA133CB-86F0-4A28-9FF2-015A2175DDAE}">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im Italienischen gibt es keinen gleichwertigen Begriff (oder ich weiß es nicht); vielleicht gibt es einen gleichwertigen Begriff in der italienischen Schweiz</t>
      </text>
    </comment>
    <comment ref="I109" authorId="1" shapeId="0" xr:uid="{59DB1526-98EA-40AF-8E44-F7A90B7FE05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Ich habe keine Ahnung, was hier gemeint ist, also kann ich bei der Übersetzung nicht viel helfen.</t>
      </text>
    </comment>
    <comment ref="G149" authorId="2" shapeId="0" xr:uid="{E40D5350-9673-422C-B2DC-654C0D2E0682}">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man mit Ja antwortet, was bedeutet das? --&gt; keine raumhohen Verglasung?
Auf französisch auch?
</t>
      </text>
    </comment>
    <comment ref="I338" authorId="3" shapeId="0" xr:uid="{C14017B7-E398-4049-92FC-23C04FA86D76}">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Name und Akronym zu überprüfen </t>
      </text>
    </comment>
    <comment ref="I381" authorId="4" shapeId="0" xr:uid="{A25A1C41-D552-4D4E-8460-B102FEE8D54E}">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Kriterien 205-1 Erreichbarkeit - Weg</t>
      </text>
    </comment>
  </commentList>
</comments>
</file>

<file path=xl/sharedStrings.xml><?xml version="1.0" encoding="utf-8"?>
<sst xmlns="http://schemas.openxmlformats.org/spreadsheetml/2006/main" count="2575" uniqueCount="2024">
  <si>
    <t>Gesellschaft</t>
  </si>
  <si>
    <t>Regionalökonomie</t>
  </si>
  <si>
    <t>Energie</t>
  </si>
  <si>
    <t>Klima</t>
  </si>
  <si>
    <t>Natur und Landschaft</t>
  </si>
  <si>
    <t>1.</t>
  </si>
  <si>
    <t>2.</t>
  </si>
  <si>
    <t>3.</t>
  </si>
  <si>
    <t>4.</t>
  </si>
  <si>
    <t>Welche ÖV-Güteklasse weist das Gebäude auf?</t>
  </si>
  <si>
    <t>5.</t>
  </si>
  <si>
    <t>6.</t>
  </si>
  <si>
    <t>7.</t>
  </si>
  <si>
    <t>8.</t>
  </si>
  <si>
    <t>Themenübergeordnete Fragen</t>
  </si>
  <si>
    <t>1.A.</t>
  </si>
  <si>
    <t>2.A.</t>
  </si>
  <si>
    <t>3.B.</t>
  </si>
  <si>
    <t>3.C.</t>
  </si>
  <si>
    <t>Wohlbefinden und Gesundheit</t>
  </si>
  <si>
    <t>Wirtschaft</t>
  </si>
  <si>
    <t>Umwelt</t>
  </si>
  <si>
    <t>Erlaubt die Dimensionierung der Zugänge zu Technikzentralen einen unproblematischen Ersatz der Gebäudetechnikgeräte?</t>
  </si>
  <si>
    <t>Werden die BAFU-Richtlinien zur Luftreinhaltung auf der Baustelle befolgt?</t>
  </si>
  <si>
    <t>Wird wo möglich RC-Beton, RC-Material oder RC-Kiessand eingesetzt?</t>
  </si>
  <si>
    <t>Sind die Veloabstellplätze schneller und besser erreichbar als Autoabstellplätze?</t>
  </si>
  <si>
    <t>Deutsch</t>
  </si>
  <si>
    <t>Mittel</t>
  </si>
  <si>
    <t xml:space="preserve"> </t>
  </si>
  <si>
    <t>Français</t>
  </si>
  <si>
    <t>Welche Art des Bauvorhabens wird bewertet?</t>
  </si>
  <si>
    <t>Wo steht das Gebäude?</t>
  </si>
  <si>
    <t>Kriterien</t>
  </si>
  <si>
    <t>1A</t>
  </si>
  <si>
    <t>Prozent</t>
  </si>
  <si>
    <t>Antwort</t>
  </si>
  <si>
    <t>Summe</t>
  </si>
  <si>
    <t>Ressourcen</t>
  </si>
  <si>
    <t>Natur</t>
  </si>
  <si>
    <t>Questions initiales</t>
  </si>
  <si>
    <t>Bien-être et santé</t>
  </si>
  <si>
    <t>Economie régionale</t>
  </si>
  <si>
    <t>Nature et paysage</t>
  </si>
  <si>
    <t>Positiv</t>
  </si>
  <si>
    <t>Negativ</t>
  </si>
  <si>
    <t>Wert</t>
  </si>
  <si>
    <t>---</t>
  </si>
  <si>
    <t>T/Ü-Fragen</t>
  </si>
  <si>
    <t>Bereich</t>
  </si>
  <si>
    <t>Gut</t>
  </si>
  <si>
    <t>Genügend</t>
  </si>
  <si>
    <t>Ungenügend</t>
  </si>
  <si>
    <t>Quel type de projet désirez-vous évaluer ?</t>
  </si>
  <si>
    <t>Bewertung</t>
  </si>
  <si>
    <t>Wird auf die Verwendung von aussereuropäischen Hölzern/Holzprodukten ohne FSC, PEFC oder gleichwertige Label verzichtet?</t>
  </si>
  <si>
    <t>PR-NIS PDF herunterladen</t>
  </si>
  <si>
    <t>www.nnbs.ch</t>
  </si>
  <si>
    <t>Erneuerung</t>
  </si>
  <si>
    <t>Wohnen</t>
  </si>
  <si>
    <t>Verwaltung</t>
  </si>
  <si>
    <t>EG-Nutzung</t>
  </si>
  <si>
    <t>Rénovation</t>
  </si>
  <si>
    <t>Administration</t>
  </si>
  <si>
    <t>Utilisation RDC</t>
  </si>
  <si>
    <t>Aktive Frage</t>
  </si>
  <si>
    <t>Französisch</t>
  </si>
  <si>
    <t>Zur Einleitung</t>
  </si>
  <si>
    <t>Vers l'introduction</t>
  </si>
  <si>
    <t>Questionnaire</t>
  </si>
  <si>
    <t>Changer de langue</t>
  </si>
  <si>
    <t xml:space="preserve"> Introduction </t>
  </si>
  <si>
    <t xml:space="preserve">   Einleitung   </t>
  </si>
  <si>
    <t>S1</t>
  </si>
  <si>
    <t>Zum Fragenkatalog</t>
  </si>
  <si>
    <t>Zurück</t>
  </si>
  <si>
    <t>Weiter</t>
  </si>
  <si>
    <t>Retour</t>
  </si>
  <si>
    <t>Suite</t>
  </si>
  <si>
    <t>S2</t>
  </si>
  <si>
    <t>S3</t>
  </si>
  <si>
    <t>Remarque 2 : Si une erreur venait à surgir, il est recommandé de sauvegarder et relancer le programme plutôt que de tenter de poursuivre l'évaluation en l'ignorant.</t>
  </si>
  <si>
    <t>Pour plus d'information sur le NNBS, nous vous invitons à consulter la page suivante :</t>
  </si>
  <si>
    <t>Pour plus d'information sur le SNBS, nous vous invitons à consulter la page suivante :</t>
  </si>
  <si>
    <t>Bemerkung 2: Wenn ein Fehler auftritt, wird empfohlen, das Programm zu speichern und neu zu starten.</t>
  </si>
  <si>
    <t>Sie können jetzt mit dem Fragenkatalog beginnen.</t>
  </si>
  <si>
    <t>Vous pouvez à présent vous rendre sur le questionnaire.</t>
  </si>
  <si>
    <t>Méthode de réduction</t>
  </si>
  <si>
    <t>S6</t>
  </si>
  <si>
    <t>Menu ein- oder ausblenden</t>
  </si>
  <si>
    <t>Fragenkatalog</t>
  </si>
  <si>
    <t>Erster Fragenteil</t>
  </si>
  <si>
    <t>Ergänzende Hinweise</t>
  </si>
  <si>
    <t>Indications complémentaires</t>
  </si>
  <si>
    <t>Als Einstieg in den Pre-Check werden Fragen zur Einordnung des Bauvorhabens gestellt. Die Anforderungen an das Projekt können sich in Abhängigkeit der jeweiligen Antwort unterscheiden. Deshalb ist eine Differenzierung mit solchen Fragen notwendig.</t>
  </si>
  <si>
    <t>Société</t>
  </si>
  <si>
    <t>Economie</t>
  </si>
  <si>
    <t>Environnement</t>
  </si>
  <si>
    <t>Vers Google Maps</t>
  </si>
  <si>
    <t>Zu Google Maps</t>
  </si>
  <si>
    <t>Fehlende Einrichtungen im Umfeld könnten mit Angeboten in der geplanten Liegenschaft kompensiert werden.</t>
  </si>
  <si>
    <t>https://bwa-smile.ch/</t>
  </si>
  <si>
    <t>Link zur Karte mit ÖV-Güteklassen</t>
  </si>
  <si>
    <t>Link zur Karte der belastenden Standorte</t>
  </si>
  <si>
    <t>Link zur Karte der Naturgefahren</t>
  </si>
  <si>
    <t>Link zur Karte der Grundwasserschutzzonen</t>
  </si>
  <si>
    <t>Carte des catégories de desserte par les transports publics</t>
  </si>
  <si>
    <t>Carte des zones contaminées</t>
  </si>
  <si>
    <t>Carte des dangers naturels</t>
  </si>
  <si>
    <t>Carte des zones de protections des eaux</t>
  </si>
  <si>
    <t xml:space="preserve">     Résultat    </t>
  </si>
  <si>
    <t xml:space="preserve">   Ergebnis   </t>
  </si>
  <si>
    <t>Nom du projet :</t>
  </si>
  <si>
    <t>Ecole</t>
  </si>
  <si>
    <t>Bildungsbau</t>
  </si>
  <si>
    <t>Anmerkungen:</t>
  </si>
  <si>
    <t>Einstiegsfragen</t>
  </si>
  <si>
    <t xml:space="preserve">Danke für die Beantwortung der Fragen. Eine Ergebnisübersicht findet sich im entsprechenden Register. </t>
  </si>
  <si>
    <t>Afficher/Masquer le menu</t>
  </si>
  <si>
    <t>Naviguer dans le Pre-Check</t>
  </si>
  <si>
    <t>Méthode d'évaluation</t>
  </si>
  <si>
    <t>En cas de rénovation</t>
  </si>
  <si>
    <t>https://www.nnbs.ch/standard-snbs-hochbau</t>
  </si>
  <si>
    <t>Naviguer dans la fenêtre</t>
  </si>
  <si>
    <t>Questions</t>
  </si>
  <si>
    <t>9.</t>
  </si>
  <si>
    <t>2A</t>
  </si>
  <si>
    <t>Exporter / Imprimer</t>
  </si>
  <si>
    <t>Stolperstein</t>
  </si>
  <si>
    <t>Fragenkatalog in einem neuen Fenster</t>
  </si>
  <si>
    <t>Fenster schliessen</t>
  </si>
  <si>
    <t xml:space="preserve">   ↓</t>
  </si>
  <si>
    <t>↑</t>
  </si>
  <si>
    <t>Décompte des points</t>
  </si>
  <si>
    <t>Graphique I</t>
  </si>
  <si>
    <t>Zum Ergebnis</t>
  </si>
  <si>
    <t>Vers les résultats</t>
  </si>
  <si>
    <t>Fragen</t>
  </si>
  <si>
    <t>Im Pre-Check navigieren</t>
  </si>
  <si>
    <t>Im Fenster navigieren</t>
  </si>
  <si>
    <t>Sprachenauswahl</t>
  </si>
  <si>
    <t>Veuillez choisir une réponse</t>
  </si>
  <si>
    <t>La première réponse étant ambigüe, le Pre-Check vous propose des questions secondaires.</t>
  </si>
  <si>
    <t>Datum:</t>
  </si>
  <si>
    <t>Date :</t>
  </si>
  <si>
    <t>Rempli</t>
  </si>
  <si>
    <t>Suffisant</t>
  </si>
  <si>
    <t>Insuffisant</t>
  </si>
  <si>
    <t>Obstacle</t>
  </si>
  <si>
    <t>2.1</t>
  </si>
  <si>
    <t>Nützliche Karte</t>
  </si>
  <si>
    <t>Cartes utiles</t>
  </si>
  <si>
    <t>Wird ein explizites Konzept zur Optimierung der Tageslichtverhältnisse umgesetzt und mit expliziten Tools nachgewiesen?</t>
  </si>
  <si>
    <t>Ist die Anwendung eines Tageslichtnachweis-Tools vorgesehen?</t>
  </si>
  <si>
    <t>Wird ein NIS-Zonenplan (Nicht ionisierende Strahlung) für das ganze Gebäude erstellt und werden Empfehlungen zum Elektrosmog umgesetzt?</t>
  </si>
  <si>
    <t>Entspricht die Dämmung der Gebäudehülle den gesetzlichen Vorgaben für Neubauten?</t>
  </si>
  <si>
    <t>Ist für das Gebäude grösstenteils der Einsatz von energieeffizienten resp. stromsparenden Geräten und Beleuchtungen vorgesehen?</t>
  </si>
  <si>
    <t>Wird eine systematische Funktionsprüfung sämtlicher Gebäudetechniksysteme vor Inbetriebnahme durchgeführt und entsprechend dokumentiert?</t>
  </si>
  <si>
    <t>Wird ein ausführliches Messkonzept für ein langfristiges Energiemonitoring erstellt, mit Installation der Messeinrichtung, Auswertung und Darstellung der Ergebnisse?</t>
  </si>
  <si>
    <t>Sind die Zuständigkeiten zur langfristigen Auswertung und Darstellung der Messergebnisse geregelt?</t>
  </si>
  <si>
    <t>Ist eine einfache Zugänglichkeit zu den Entsorgungsstandorten gewährleistet?</t>
  </si>
  <si>
    <t>8.A</t>
  </si>
  <si>
    <t>8.B</t>
  </si>
  <si>
    <t>10.</t>
  </si>
  <si>
    <t>Wird die Flächeneffizienz des Projekts im Laufe der Planung bewusst überprüft?</t>
  </si>
  <si>
    <t>Wurden Zielvorgaben definiert, um Nutzungsnebenflächen (Lagerräume, Erschliessungsfläche usw.) im beheizten Raum zu verringern?</t>
  </si>
  <si>
    <t>Reduktionsmethode</t>
  </si>
  <si>
    <t>Da die erste Antwort nicht eindeutig ist, werden im Pre-Check Zusatzfragen eingeblendet.</t>
  </si>
  <si>
    <t>Bewertungsmechanismus</t>
  </si>
  <si>
    <t>Abbildung I</t>
  </si>
  <si>
    <t>Im obigen Beispiel werden die folgenden Informationen angezeigt:</t>
  </si>
  <si>
    <t>In der nebenstehenden Grafik kann folgendes abgelesen werden:</t>
  </si>
  <si>
    <t>Bei Erneuerung</t>
  </si>
  <si>
    <t>Bewertungsübersicht</t>
  </si>
  <si>
    <t>SIA Normen</t>
  </si>
  <si>
    <t>Schallschutz im Hochbau</t>
  </si>
  <si>
    <t>SIA Ordnung 144</t>
  </si>
  <si>
    <t>SIA Ordnung 142/143</t>
  </si>
  <si>
    <t>Wärmeschutz, Feuchteschutz und Raumklima in Gebäuden</t>
  </si>
  <si>
    <t>SIA Norm 180</t>
  </si>
  <si>
    <t>SIA Norm 181</t>
  </si>
  <si>
    <t>SIA Norm 500</t>
  </si>
  <si>
    <t>Hindernisfreies Bauen</t>
  </si>
  <si>
    <t>SIA Norm 380/1</t>
  </si>
  <si>
    <t>Heizwärmebedarf</t>
  </si>
  <si>
    <t>SIA Merkblatt 2032</t>
  </si>
  <si>
    <t>SIA Merkblatt 2040</t>
  </si>
  <si>
    <t>SIA Norm 382/2</t>
  </si>
  <si>
    <t>SNV Norm SN EN 17037</t>
  </si>
  <si>
    <t>Akustische Grenz- und Richtwerte</t>
  </si>
  <si>
    <t>SNV Normen</t>
  </si>
  <si>
    <t>SUVA Richtlinien</t>
  </si>
  <si>
    <t>Schallschutz</t>
  </si>
  <si>
    <t>Tageslicht in Gebäuden</t>
  </si>
  <si>
    <t>https://www.suva.ch/de-CH/material/Dokumentationen/akustische-grenz-und-richtwerte</t>
  </si>
  <si>
    <t>SIA Norm 431</t>
  </si>
  <si>
    <t>Entwässerung von Baustellen</t>
  </si>
  <si>
    <t>BAFU Richtlinien</t>
  </si>
  <si>
    <t>Bodenschutz auf der Baustelle</t>
  </si>
  <si>
    <t>https://www.bafu.admin.ch/bafu/de/home/themen/boden/publikationen-studien/publikationen/bodenschutz-auf-der-baustelle.html</t>
  </si>
  <si>
    <t>Luftreinhaltung auf Baustellen</t>
  </si>
  <si>
    <t>https://www.bafu.admin.ch/bafu/de/home/themen/luft/publikationen-studien/publikationen/luftreinhaltung-auf-baustellen.html</t>
  </si>
  <si>
    <t>Baulärm-Richtlinie</t>
  </si>
  <si>
    <t>https://www.bafu.admin.ch/bafu/de/home/themen/laerm/publikationen-studien/publikationen/baulaerm-richtlinie.html</t>
  </si>
  <si>
    <t>Gemeinsame Baustelleneinrichtungen</t>
  </si>
  <si>
    <t>Eco-BKP 130</t>
  </si>
  <si>
    <t>https://www.eco-bau.ch/index.cfm?Nav=50&amp;Sec=/11/1/11/130/</t>
  </si>
  <si>
    <t>https://www.astra.admin.ch/astra/de/home/themen/langsamverkehr.html</t>
  </si>
  <si>
    <t>ASTRA Wegleitung</t>
  </si>
  <si>
    <t>Grundlagen mit strategischer Bedeutung</t>
  </si>
  <si>
    <t>Anzahl Veloabstellplätze</t>
  </si>
  <si>
    <t>BWA Beobachtung</t>
  </si>
  <si>
    <t>Wettbewerbe und Ausschreibungen</t>
  </si>
  <si>
    <t>Organisation, Intention und Ablauf</t>
  </si>
  <si>
    <t>PR-NIS AWEL Zürich</t>
  </si>
  <si>
    <t>Planungsrichtlinie</t>
  </si>
  <si>
    <t>Nichtionisierende Strahlung</t>
  </si>
  <si>
    <t>Distanzmessungen</t>
  </si>
  <si>
    <t>Weitere Grundlagen</t>
  </si>
  <si>
    <t>Für weitere Informationen zum NNBS können Sie diesem Link folgen:</t>
  </si>
  <si>
    <t>Für weitere Informationen zum SNBS können Sie diesem Link folgen:</t>
  </si>
  <si>
    <t>Wird das Bauvorhaben innerhalb oder am Rand eines dicht besiedelten Gebiets realisiert?</t>
  </si>
  <si>
    <t>Exportieren/Drucken</t>
  </si>
  <si>
    <t>Normes SIA</t>
  </si>
  <si>
    <t>Abbildung II</t>
  </si>
  <si>
    <t>Graphique II</t>
  </si>
  <si>
    <t>Einleitung B</t>
  </si>
  <si>
    <t>Einleitung A</t>
  </si>
  <si>
    <t>Thema</t>
  </si>
  <si>
    <t>Bitte Antwort auswählen</t>
  </si>
  <si>
    <t>Wort</t>
  </si>
  <si>
    <t>Fragen Nr.</t>
  </si>
  <si>
    <t>Sonderfall</t>
  </si>
  <si>
    <t>S4</t>
  </si>
  <si>
    <t>S5</t>
  </si>
  <si>
    <t>S7</t>
  </si>
  <si>
    <t>S8</t>
  </si>
  <si>
    <t>S9</t>
  </si>
  <si>
    <t>S10</t>
  </si>
  <si>
    <t>Des informations générales sur le concept du projet évalué seront demandées dans cette partie initiale. Les réponses permettront d'adapter certaines parties du questionnaire en conséquent. Il est donc important d'y répondre.</t>
  </si>
  <si>
    <t>Dans quel milieu se trouve le bâtiment ?</t>
  </si>
  <si>
    <t>Des informations sur le projet ont-elles été mises à disposition avec un accès simplifié, p. ex. en ligne ?</t>
  </si>
  <si>
    <t>Existe-t-il un concept de mise en œuvre technique et constructif assurant une haute flexibilité et diversité des espaces ?</t>
  </si>
  <si>
    <t>Quel est le niveau de qualité de desserte en transports publics indiqué par la parcelle ?</t>
  </si>
  <si>
    <t>Est-il prévu de contrôler et documenter régulièrement le fonctionnement de la technique du bâtiment dès sa mise en œuvre ?</t>
  </si>
  <si>
    <t>La construction ou la rénovation se situe-t-elle à l'intérieur ou à la limite d'une région dense ?</t>
  </si>
  <si>
    <t>Merci pour votre participation. Nous vous invitions à présent à consulter les résultats de l'évaluation sur la page correspondante.</t>
  </si>
  <si>
    <t>Est-il prévu de conserver l'essentiel de la structure du bâtiment ? (P. ex. pas de changement dans la structure porteuse)</t>
  </si>
  <si>
    <t>Est-il prévu de conserver l'essentiel de la technique du bâtiment et des infrastructures correspondantes ? (P. ex. pas de changements des installations sanitaires)</t>
  </si>
  <si>
    <t>Mesure des distances</t>
  </si>
  <si>
    <t>Règlements SIA 142/143</t>
  </si>
  <si>
    <t>Règlement SIA 144</t>
  </si>
  <si>
    <t>Protection thermique, protection contre l'humidité et climat intérieur dans les bâtiments</t>
  </si>
  <si>
    <t>Norme SIA 180</t>
  </si>
  <si>
    <t>Protection contre le bruit dans le bâtiment</t>
  </si>
  <si>
    <t>Norme SIA 181</t>
  </si>
  <si>
    <t>Besoin de chaleur pour le chauffage</t>
  </si>
  <si>
    <t>Norme SIA 380/1</t>
  </si>
  <si>
    <t>Evacuation et traitement des eaux de chantier</t>
  </si>
  <si>
    <t>Norme SIA 431</t>
  </si>
  <si>
    <t>Constructions sans obstacles</t>
  </si>
  <si>
    <t>Norme SIA 500</t>
  </si>
  <si>
    <t>Cahier technique SIA 2032</t>
  </si>
  <si>
    <t>Cahier technique SIA 2040</t>
  </si>
  <si>
    <t>La voie SIA vers l'efficacité énergétique</t>
  </si>
  <si>
    <t>Normes SNV</t>
  </si>
  <si>
    <t>Lumière naturelle dans les bâtiments</t>
  </si>
  <si>
    <t>Normes SNV SN EN 17037</t>
  </si>
  <si>
    <t>Directives SUVA</t>
  </si>
  <si>
    <t>Directives BAFU</t>
  </si>
  <si>
    <t>Protection phonique</t>
  </si>
  <si>
    <t>Valeurs acoustiques limites et indicatives</t>
  </si>
  <si>
    <t>Environnement et site de construction</t>
  </si>
  <si>
    <t>Construire en préservant les sols</t>
  </si>
  <si>
    <t>Protection de l’air sur les chantiers</t>
  </si>
  <si>
    <t>Eco-BKP Richtlinien</t>
  </si>
  <si>
    <t>Directives Eco-CFC</t>
  </si>
  <si>
    <t>Installation de chantier en commun</t>
  </si>
  <si>
    <t>Eco-CFC 130</t>
  </si>
  <si>
    <t>Instruction de l'OFROU</t>
  </si>
  <si>
    <t>Dossier stratégique pour la mobilité douce</t>
  </si>
  <si>
    <t>Existe-t-il un concept assurant un monitoring de l'utilisation de l'énergie et les appareils nécessaires seront-ils installés ?</t>
  </si>
  <si>
    <t>Des responsabilités ont-elles été distribuées pour assurer la durabilité de l'évaluation des données et la représentation des résultats ?</t>
  </si>
  <si>
    <t>Une bonne accessibilité aux centres de tri est-elle assurée ?</t>
  </si>
  <si>
    <t>Pour une première utilisation du Pre-Check, nous vous conseillons de lire les explications suivantes sur son fonctionnement.</t>
  </si>
  <si>
    <t>Autres liens utiles</t>
  </si>
  <si>
    <t>Concours et mandats d'étude</t>
  </si>
  <si>
    <t>Directives sur le bruit des chantiers</t>
  </si>
  <si>
    <t>Nombre de places pour vélos</t>
  </si>
  <si>
    <t>&gt; Pour afficher la liste complète, cliquer ici</t>
  </si>
  <si>
    <t>&gt; Für eine vollständige Liste hier klicken</t>
  </si>
  <si>
    <t>Welche Schulstufe wird angestrebt? (gegebenenfalls Antwort mit der grössten Nutzungsfläche auswählen)</t>
  </si>
  <si>
    <t>Les places de stationnement pour vélos sont-elles accessibles plus rapidement que les places de stationnement pour voitures ?</t>
  </si>
  <si>
    <t>Des mesures ont-elles été prises pour augmenter l'efficacité d'occupation ? (P. ex. augmentation des surfaces utilisables à des fins pédagogiques)</t>
  </si>
  <si>
    <t>Fermer la fenêtre</t>
  </si>
  <si>
    <t>Nouvelle fenêtre de questionnaire</t>
  </si>
  <si>
    <t>Wurde eine strategische Schulraumplanung mit Berücksichtigung der langfristig erwarteten Entwicklung der Lernenden- bzw. Studierendenzahlen für mehrere Szenarien durchgeführt?</t>
  </si>
  <si>
    <t>Wurde ein Planerauswahlverfahren durchgeführt (im Idealfall gemäss Ordnung SIA 144) und nahmen im Beurteilungsgremium auch Vertreter der künftigen Nutzenden Einsitz?</t>
  </si>
  <si>
    <t>Sind Wege und Aufenthaltsbereiche im Aussenraum von den Unterrichts- und Arbeitsräumen aus sicher erreichbar und grösstenteils einsehbar?</t>
  </si>
  <si>
    <t>Besteht ein baulich und technisch umsetzbares Konzept, welches hohe Flexibilität sowie Variabilität in der Nutzung und im Ausbau des Gebäudes erlaubt?</t>
  </si>
  <si>
    <t>Besteht eine hohe Vielfalt im Nutzungsangebot?</t>
  </si>
  <si>
    <t>ArGV3</t>
  </si>
  <si>
    <t>Wegleitungen</t>
  </si>
  <si>
    <t>OLT 3</t>
  </si>
  <si>
    <t>Loi sur le travail et Ordonnances</t>
  </si>
  <si>
    <t>Commentaires</t>
  </si>
  <si>
    <t>https://www.beuth.de/en/standard/din-18041/245356770</t>
  </si>
  <si>
    <t>https://www.seco.admin.ch/seco/de/home/Arbeit/Arbeitsbedingungen/Arbeitsgesetz-und-Verordnungen/Wegleitungen/wegleitung-zur-argv-3.html</t>
  </si>
  <si>
    <t>Hörsamkeit in Räumen – Anforderungen, Empfehlungen und Hinweise zur Planung</t>
  </si>
  <si>
    <t>DIN 18041</t>
  </si>
  <si>
    <t>Klimagruppen, aufgeteilt nach Klimastation</t>
  </si>
  <si>
    <t>Wohnen (EFH, MFH), Räume mit bis zu 2 Fassaden, Betondecke (&gt;80 % frei)</t>
  </si>
  <si>
    <t>Wohnen (EFH, MFH), Räume mit bis zu 2 Fassaden, Holzdecke und Zementunterlagsboden mit min. 6 cm oder Anhydrit mit min. 5 cm Stärke</t>
  </si>
  <si>
    <t>Wohnen (EFH, MFH), Räume mit 1 Fassade, Betondecke (&gt;80 % frei) SSE-SSW-Orientierung und Verschattung durch Balkon mit 1 m Tiefe</t>
  </si>
  <si>
    <t>Einzelbüro, Gruppenbüro, Räume mit bis zu 2 Fassaden, Betondecke (&gt; 40 % frei) und automatische Steuerung des Sonnenschutzes, G_x0002_Wert Glas ≤ 30 %</t>
  </si>
  <si>
    <t>Klimagruppe</t>
  </si>
  <si>
    <t>Ortschaften</t>
  </si>
  <si>
    <t>Locarno-Monti, Lugano, Magadino</t>
  </si>
  <si>
    <t>Genève-Cointrin, Neuchâtel, Pully, Sion</t>
  </si>
  <si>
    <t>Adelboden, Disentis, Engelberg, La Chaux-de-Fonds, La Frétaz, Montana, Piotta, Robbia</t>
  </si>
  <si>
    <t>Davos, Samedan, San Bernardino, Scuol, Ulrichen, Zermatt, Grand-St-Bernard</t>
  </si>
  <si>
    <t>Aus: Anwendungshilfe zu den Gebäudestandards Minergie / Minergie-P / Minergie-A, Aktuelle Version.1, S. 48.</t>
  </si>
  <si>
    <t>Maximale Glasflächenzahl</t>
  </si>
  <si>
    <t>Facteur de vitrage maximal en fonction des critères des locaux</t>
  </si>
  <si>
    <t>Facteur de vitrage maximal</t>
  </si>
  <si>
    <t>Groupes climatiques, séparés par 
station climatique</t>
  </si>
  <si>
    <t>Habitat (individuel, collectif), pièces jusqu'à 2 façades, plafond bois et chape ciment avec min. 6 cm ou anhydrite min. 5 cm d'épais</t>
  </si>
  <si>
    <t>Habitat (individuel, collectif), pièces jusqu'à 2 façades, plafond béton apparent (&gt;80 % libre)</t>
  </si>
  <si>
    <t>Groupe climatique</t>
  </si>
  <si>
    <t>Lieu</t>
  </si>
  <si>
    <t>Werden neben den Erneuerungskosten auch langfristige Kosten zur Entscheidungsfindung untersucht?</t>
  </si>
  <si>
    <t>Fliessen Gedanken zur künftigen Reinigung und Pflege des Gebäudes mit in die Kostenermittlung ein?</t>
  </si>
  <si>
    <t>Ist auf dem Grundstück ein ausreichendes Netz an Fussgänger- und Velowegen vorhanden und sind allfällige Nebennutzungen damit gut angebunden bzw. wird mit dem Bauvorhaben Langsamverkehrerschliessung optimiert?</t>
  </si>
  <si>
    <t>Werden bei Vergabe der Planungs- und Ausführungsarbeiten regional ansässige Unternehmen bewusst berücksichtigt bzw. wie hoch wird der entsprechende Anteil am Investitionsvolumens (BKP 2) voraussichtlich sein?</t>
  </si>
  <si>
    <t>Beschaffungen der öffentlichen Hand</t>
  </si>
  <si>
    <t>Marchés publics</t>
  </si>
  <si>
    <t>Wird eine langfristig und effizient funktionierende Bau- und Gebäudetechnik mit einer expliziten Funktionsprüfung bei Inbetriebnahme und einer energetischen Betriebsoptimierung nach Gebäudeübergabe gewährleistet?</t>
  </si>
  <si>
    <t>Ist eine Abfallsammelstelle (Wiederverwertung, Entsorgung, Kompost) im Umfeld oder in der geplanten Liegenschaft vorhanden?</t>
  </si>
  <si>
    <t>Wird ein explizites Konzept zur Förderung einer ressourcen- und umweltschonenden Mobilität (ÖV- und Velonutzung) und Reduktion des motorisierten Individualverkehrs erstellt und angewendet?</t>
  </si>
  <si>
    <t>S11</t>
  </si>
  <si>
    <t>SNBS-Zertifizierungen</t>
  </si>
  <si>
    <t>Eine Erklärung zum Bewertungsmechanismus im Pre-Check findet sich in der Einleitung. Sie können über das Popup-Menü im Fensterreiter dorthin gelangen.</t>
  </si>
  <si>
    <t xml:space="preserve">Weitere Details zur SNBS-Bewertung finden sich im offiziellen Kriterienkatalog: </t>
  </si>
  <si>
    <t>Minergie</t>
  </si>
  <si>
    <t>Minergie A</t>
  </si>
  <si>
    <t>Minergie P</t>
  </si>
  <si>
    <t>Mesures 1, 2, 5, 7</t>
  </si>
  <si>
    <t>Messgrössen 1, 2, 5, 7</t>
  </si>
  <si>
    <t>Le projet se distingue-t-il par la haute qualité de son fonctionnement ? (P. ex. avec une organisation des espaces efficace et adaptée à l'utilisation du bâtiment)</t>
  </si>
  <si>
    <t>Sind die massgeblichen Fuss- und Velowege im Einzugsgebiet der Bildungsbaute sicher (die Wege führen ausschliesslich über Trottoirs, Strassenübergänge sind beleuchtet und markiert, Velowege sind räumlich von der Strasse getrennt)?</t>
  </si>
  <si>
    <t>Une technique du bâtiment efficace et durable est-elle assurée avec un test de fonctionnement clair au moment de sa mise en œuvre et une optimisation énergétique après la remise des clés ?</t>
  </si>
  <si>
    <t>Un concept a-t-il été rédigé et appliqué pour promouvoir une mobilité respectueuse des ressources et de l'environnement (transports publics et vélos) et une réduction de l'utilisation de véhicules motorisés individuels ?</t>
  </si>
  <si>
    <t>Les bâtiments projetés sont-ils organisés de manière dense sur la parcelle avec la possibilité d'un agrandissement significatif (au minimum 25% de l'SP) ou atteignent-ils déjà la densité maximum pour leur parcelle ?</t>
  </si>
  <si>
    <t>Certifications SNBS</t>
  </si>
  <si>
    <t>Bei der Bewertung des Tageslichts und der Graue Energie stellt Minergie ECO weiterführende Dokumente unter folgender Adresse zur Verfügung.</t>
  </si>
  <si>
    <t>DIN-Norm 18041:2016</t>
  </si>
  <si>
    <t>Aigle, Altdorf, Basel-Binningen, Buchs-Aarau, Chur, Luzern, Schaffhausen, Vaduz, Bern, Liebefeld, Glarus, Güttingen, Interlaken, Payerne, Rünenberg, St. Gallen, Wynau, Zürich, Kloten, Zürich-Meteo Schweiz</t>
  </si>
  <si>
    <t>Die Entfernung zwischen dem bewerteten Bauwerk und den verschiedenen Angeboten in der Umgebung sind mit dem Routenplaner von Google Maps messbar (relevant ist jeweils die Gehdistanz):</t>
  </si>
  <si>
    <t>Le projet offre-t-il une grande diversité de fonctions ?</t>
  </si>
  <si>
    <t>Le projet offre-t-il une grande diversité de fonctions ? (P. ex. variété dans la taille et la forme des appartements)</t>
  </si>
  <si>
    <t>Le projet offre-t-il une grande diversité de fonctions ? (P. ex. variété dans la taille et la forme des bureaux)</t>
  </si>
  <si>
    <t>Le projet offre-t-il une grande diversité de fonctions ? (P. ex. variété dans la taille et la forme des salles de classe, de séminaire et de travail)</t>
  </si>
  <si>
    <t>L'isolation du bâtiment remplit-elle les exigences en termes d'isolation des nouvelles constructions ?</t>
  </si>
  <si>
    <t>Dans l'exemple ci-dessus, on peut lire les informations suivantes :</t>
  </si>
  <si>
    <t>Dans le graphique ci-contre on remarque :</t>
  </si>
  <si>
    <t>Remarque 1 : Si vous n'apercevez pas l'intégralité du texte pour une question, essayez d'ajuster le zoom dans la fenêtre Excel.</t>
  </si>
  <si>
    <t>Les normes et directives qui ne dépendent ni de la SIA ni de Minergie sont listées ci-dessous avec des liens vers les sites respectifs :</t>
  </si>
  <si>
    <t>BWA Beobachtung (en Allemand)</t>
  </si>
  <si>
    <t>PR-NIS AWEL Zürich (en Allemand)</t>
  </si>
  <si>
    <t>Habitat (individuel, collectif), pièces avec 1 façade, plafond béton apparent (&gt;80% libre), orientation SSE-SSO et ombrage par balcon de min. 1 m. de profondeur</t>
  </si>
  <si>
    <t>Source : Aide à l'utilisation des labels Minergie / Minergie-P / Minergie-A, version actuelle.1, p. 48.</t>
  </si>
  <si>
    <t>Les distances entre la construction évaluée et différentes offres à proximité sont mesurées avec l'outil d'itinéraire de Google Maps :</t>
  </si>
  <si>
    <t>Aigle, Altdorf, Basel-Binningen, Buchs-Aarau, Chur, Luzern, Schaffhausen, Vaduz, Bern, Liebefeld, Glarus, Güttingen, Interlaken, Payerne, Rünenberg, St. Gallen, Wynau, Zürich,_x0002_Kloten, Zürich -Meteo Schweiz</t>
  </si>
  <si>
    <t>Commentaires :</t>
  </si>
  <si>
    <t>Est-il prévu d'utiliser autant de matériaux recyclés que possible ? (P. ex. béton, gravier, etc.)</t>
  </si>
  <si>
    <t>La structure du bâtiment est-elle essentiellement conservée ? (P. ex. pas de changement dans la structure porteuse)</t>
  </si>
  <si>
    <t>Pour quel cycle scolaire le bâtiment doit-il être construit ? (Donner la fonction avec la surface utile la plus élevée le cas échéant)</t>
  </si>
  <si>
    <t>Des objectifs ont-ils été définis pour la réduction de la surface des locaux annexes (circulation, stockage, etc.) compris dans la surface chauffée ?</t>
  </si>
  <si>
    <t>L'efficacité d'occupation a-t-elle été contrôlée durant la phase de planification du projet ?</t>
  </si>
  <si>
    <t>Est-il possible de modifier la fonction des espaces sans transformation significative de la structure ? (P. ex. logements en bureaux ; locaux administratifs en logements, en commerce ou en école ; établissement scolaire en un autre cycle de formation, en locaux administratifs ou en commerce)</t>
  </si>
  <si>
    <t>Est-il prévu d'équiper le bâtiment avec une majorité d'appareils à haute efficacité énergétique ou à économie d'énergie ?</t>
  </si>
  <si>
    <t>Des mesures sont-elles prévues pour minimiser l'impact environnemental du chantier et du processus de construction ? (P. ex. conformément à la norme SIA 431, aux exigences l'OFEV, ou aux exigences eco-CFC)</t>
  </si>
  <si>
    <t>Une grande attention a-t-elle été apportée à l'impact environnemental des ressources et des matériaux utilisés ? (P. ex. utilisation de matériaux conformes aux recommandations eco-CFC et aux soumissions des ECO-devis)</t>
  </si>
  <si>
    <t>Est-il prévu d'éviter l'utilisation de bois et de matériaux à base de bois d'origine non européenne ou sans label FSC, PEFC ou équivalent ?</t>
  </si>
  <si>
    <t>Pour la lumière du jour et l'énergie grise, Minergie-ECO met à disposition des documents de mesure à l'adresse suivante :</t>
  </si>
  <si>
    <t>Bureau individuel ou paysagé, pièces jusqu'à 2 façades, plafond béton apparent (&gt; 40 % libre) et commande automatique de la protection solaire. Valeur g du verre ≤ 30 %</t>
  </si>
  <si>
    <t>Pour plus de détails sur l'évaluation officielle du SNBS, nous vous invitons à consulter les fiches-critères au lien suivant :</t>
  </si>
  <si>
    <t>Le projet a-t-il fait l'objet d'une procédure de sélection (idéalement conformément au règlement SIA 144) et des représentants des futurs utilisateurs ont-ils été inclus dans le jury ?</t>
  </si>
  <si>
    <t>Les transformations constructives facilitent-elles l'entretien et le remplacement des éléments de construction en fonction de leurs durées de vie respectives ? (P. ex. possibilité de changer les fenêtres sans travaux de façade, de démonter le mobilier fixe sans affecter les cloisons, etc.)</t>
  </si>
  <si>
    <t>À quelle distance du bâtiment principal se trouvent les structures d'accueil de jour scolaire ? (P. ex. école de jour, tables à manger, garderie)</t>
  </si>
  <si>
    <t>Des stations de tris sont-elles disponibles dans les environs ou au sein du projet ? (Réemploi, élimination et composte)</t>
  </si>
  <si>
    <t>Une explication du fonctionnement des résultats du Pre-Check est mise à disposition dans l'introduction. Vous pouvez vous y rendre à l'aide du menu en haut de la fenêtre.</t>
  </si>
  <si>
    <t>Une attention particulière a-t-elle été donnée à la collecte des eaux de pluie dans des bassins hors-sols ou en souterrain (p. ex. citernes pour les eaux de pluie) et à leurs réutilisations ? (P. ex. pour la chasse d'eau, l'arrosage des plantes ou pour couvrir les besoins en eau froide)</t>
  </si>
  <si>
    <t>En plus des coûts de la rénovation, les coûts sur le long terme ont-ils également été considérés lors de prises de décision sur la conception du projet ?</t>
  </si>
  <si>
    <t>Nicht auf SIA oder Minergie aufbauende Normen und Richtlinien finden sich mit dem unten angegebenen Link zu den jeweiligen Webseiten:</t>
  </si>
  <si>
    <t>Bemerkung 1: Wenn Sie den Text einer Frage nicht vollständig sehen können, versuchen Sie bitte, die Zoomeinstellung des Fensters im Excel anzupassen.</t>
  </si>
  <si>
    <t>Umweltbelastung auf der Baustelle</t>
  </si>
  <si>
    <t>Le projet se base-t-il sur une analyse de site complète conduite au début du projet (Phase SIA 0) et les cahiers des charges incluent-ils des références aux modèles supérieurs (suisses, cantonaux, communaux) ainsi qu'à des objectifs individuels et d'ordre général appropriés ?</t>
  </si>
  <si>
    <t>Est-il prévu d'utiliser un outil de calcul pour contrôler l'apport en lumière du jour ?</t>
  </si>
  <si>
    <t>Les fonctions inclues dans le projet sont également prises en compte. Ainsi, le maître d'ouvrage peut améliorer les conditions de bases des habitants avec son offre.</t>
  </si>
  <si>
    <t>Une planification stratégique des locaux scolaires a-t-elle été réalisée en considérant l'évolution du nombre d'étudiants et d'enseignants selon différents scénarios ?</t>
  </si>
  <si>
    <t>Les espaces de jeu et de pause à l'extérieur sont-ils facilement accessibles et au moins partiellement visibles depuis l'intérieur des salles de classe et de travail ?</t>
  </si>
  <si>
    <t>Est-il possible de changer radicalement l'arrangement des espaces sans transformation significative de la structure ? (P. ex. en limitant les murs porteurs intérieurs, en réservant des places pour compléter les aménagements techniques ou en utilisant des pièces modulaires)</t>
  </si>
  <si>
    <t>L'exposition à la lumière du jour a-t-elle été optimisée dans les pièces principales et calculée à l'aide d'un outil clair ?</t>
  </si>
  <si>
    <t>Un réseau piéton et vélo bien connecté aux locaux secondaires est-il présent sur la parcelle ou une meilleure accessibilité pour la mobilité douce est-elle projetée en conséquent ?</t>
  </si>
  <si>
    <t>Link zur Karte der Ortsbildschutzzone</t>
  </si>
  <si>
    <t>Carte des sites construits protégés</t>
  </si>
  <si>
    <t>85 - 100</t>
  </si>
  <si>
    <t>65 - 85</t>
  </si>
  <si>
    <t>50 - 65</t>
  </si>
  <si>
    <t>0 - 50</t>
  </si>
  <si>
    <t>Überblick über die Bewertung</t>
  </si>
  <si>
    <t>Les graphiques de la page ''Résultats'' donnent une évaluation de la durabilité du projet projet évalué en se basant sur les réponses au questionnaire :</t>
  </si>
  <si>
    <t>Dans le second graphique, les pourcentages atteints pour les exigences des domaines Société, Economie et Environnement, ainsi que les douze thèmes correspondants sont affichés à gauche.</t>
  </si>
  <si>
    <t>Un premier graphique représente l'évaluation de chacun des thèmes sous la forme d'un diagramme en toile d'araignée. Ce diagramme permet d'identifier rapidement les forces et les faiblesses d'un projet. Il constitue également un outil pratique pour la comparaison de variantes ou de différents projets.</t>
  </si>
  <si>
    <t>Die Illustrationen im Ergebnisregister fassen die Projektbewertung zusammen und bestehen aus zwei Teilen:</t>
  </si>
  <si>
    <t xml:space="preserve">100 %                </t>
  </si>
  <si>
    <t>In der Abbildung auf der zweiten Seite wird in Form von horizontalen Balken gezeigt, wie gut ein Projekt die Anforderungen des SNBS in den jeweiligen Themen der Bereiche Gesellschaft, Wirtschaft und Umwelt sowie in den Bereichen selbst erfüllt.</t>
  </si>
  <si>
    <t>(%)</t>
  </si>
  <si>
    <t>S12</t>
  </si>
  <si>
    <t>S13</t>
  </si>
  <si>
    <t>Il est également possible de n'évaluer que les questions en lien avec le Climat.</t>
  </si>
  <si>
    <t>S14</t>
  </si>
  <si>
    <t>Evaluation</t>
  </si>
  <si>
    <t>Klima-Check A</t>
  </si>
  <si>
    <t>Klima-Check B</t>
  </si>
  <si>
    <t>Klima-Check C</t>
  </si>
  <si>
    <t>Klima-Check D</t>
  </si>
  <si>
    <t>L'aperçu des résultats comporte deux parties. Le premier tableau prend la forme d'un graphique en toile d'araignée. Il peut notamment être utilisé pour comparer les points forts et les points faibles d'un projet, ou servir à comparer différents projets entre eux.</t>
  </si>
  <si>
    <t>Dans la deuxième partie, l'évaluation des domaines et des thèmes est donnée par des diagrammes en barres horizontales.</t>
  </si>
  <si>
    <t>Im zweiten Teil wird die Bewertung der Bereiche und der einzelnen Themen mit horizontalen Balken graphisch dargestellt.</t>
  </si>
  <si>
    <t>Die Ergebnisübersicht besteht aus zwei Teilen. Die erste Abbildung stellt ein Spinnendiagram dar. Dieses kann zur Analyse von Stärken und Schwächen eines Projekts verwendet werden, aber auch beim Vergleich verschiedener Projekte.</t>
  </si>
  <si>
    <t>Klimadaten</t>
  </si>
  <si>
    <t>Données climatiques</t>
  </si>
  <si>
    <t>Weist das Bauvorhaben genügend private Aussenräume auf, die eine Aufenthaltsmöglichkeit im Freien sowohl bei Unwettern (Schutz vor starken Regenfällen) als auch in Hitzeperioden (effizienter Sonnenschutz) erlaubt?</t>
  </si>
  <si>
    <t>Wird die Umgebungsgestaltung beim Bauvorhaben so konzipiert, dass sie eine angemessene abkühlende Beschattung der Gebäudenutzenden anbietet?</t>
  </si>
  <si>
    <t>Ungenügend / Stolpersteine</t>
  </si>
  <si>
    <t>Tabelle 1: Dropdown Liste</t>
  </si>
  <si>
    <t>Tabelle 4: Sonderheit für Ergebnis</t>
  </si>
  <si>
    <t>Tabelle 5: Bewertungen</t>
  </si>
  <si>
    <t>Tabelle 7: Zusmmenfassung</t>
  </si>
  <si>
    <t>Tabelle 8: Abbildung Gesellschaft</t>
  </si>
  <si>
    <t>Tabelle 9: Abbildung Wirtschaft</t>
  </si>
  <si>
    <t>Tabelle2: Einfluss des Erster Fragenteil</t>
  </si>
  <si>
    <t>Einfluss der Themenübergeordneten Fragen</t>
  </si>
  <si>
    <t>Einfluss der Einstiegfragen</t>
  </si>
  <si>
    <t>Tabelle 10: Abbildung Umwelt</t>
  </si>
  <si>
    <t>Tabelle 12: Abbildung Bereiche</t>
  </si>
  <si>
    <t>Tabelle 13: Spinnendiagramm</t>
  </si>
  <si>
    <t>Tabelle 14: Abbildungen für die Einleitung</t>
  </si>
  <si>
    <t>Textinhalt</t>
  </si>
  <si>
    <t>Pre-Check</t>
  </si>
  <si>
    <t>Veuillez choisir cette réponse.</t>
  </si>
  <si>
    <t>puis choisir cette réponse.</t>
  </si>
  <si>
    <t>Veuillez lire les informations ci-dessous</t>
  </si>
  <si>
    <t>Tabelle 3: SNBS Kategorien</t>
  </si>
  <si>
    <t>Ermöglicht das Bauvorhaben eine uneingeschränkte Nachtauskühlung ohne bedeutende Beeinträchtigung der Luftqualität?</t>
  </si>
  <si>
    <t>Wird eine Messeinrichtung für ein langfristiges Monitoring vorgesehen, welche zur Beurteilung der thermischen Behaglichkeit im Gebäude dient und eine entsprechende Auswertung ermöglicht?</t>
  </si>
  <si>
    <t>Wurden langfristig klimaresistente Bepflanzungen für die Umgebungsgestaltung vorgesehen?</t>
  </si>
  <si>
    <t>Haben beim Versickerungs- und Retentionskonzept die erwarteten besonders heftigen Niederschläge der Zukunft eine Rolle gespielt?</t>
  </si>
  <si>
    <t>Liste ein- oder ausblenden</t>
  </si>
  <si>
    <t>Afficher/Masquer la liste</t>
  </si>
  <si>
    <t>Kriterium</t>
  </si>
  <si>
    <t>Bewertung der Kriterien</t>
  </si>
  <si>
    <t>Evaluation des critères</t>
  </si>
  <si>
    <t>Certains critères ont un nouveau texte :</t>
  </si>
  <si>
    <t>Certains critères ne sont pas modifiés :</t>
  </si>
  <si>
    <t>Certains critères sont retirés de l'évaluation :</t>
  </si>
  <si>
    <t>Dieser Teil der Einleitung hilft Ihnen die Funktionsweise des Fragebogens beim ausgewählten Tool zu verstehen.</t>
  </si>
  <si>
    <t>Wählen Sie bitte diese Antwort aus.</t>
  </si>
  <si>
    <t>Lesen Sie bitte die Informationen</t>
  </si>
  <si>
    <t>Norme DIN 18041:2016 (en Allemand)</t>
  </si>
  <si>
    <t>Les aspects architecturaux et paysagers particulièrement affectés par le changement climatique (p. ex. orientation du bâtiment et direction des vents) ont-ils fait l'objet d'une attention particulière lors de la procédure de sélection de projet ?</t>
  </si>
  <si>
    <t>Des installations aquatiques sont-elles accessibles dans les environs du projet (&lt; 3 km à pied) ? (P. ex. piscine, lac, rivière, grande fontaine)</t>
  </si>
  <si>
    <t>Un important refroidissement du bâtiment de nuit est-il possible en été sans impact négatif sur la qualité de l'air intérieur ?</t>
  </si>
  <si>
    <t>Cette section de l'introduction vous invite à comprendre l'effet de l'outil sélectionné sur le questionnaire.</t>
  </si>
  <si>
    <t>Nr</t>
  </si>
  <si>
    <t>Ind.</t>
  </si>
  <si>
    <t>Nr.</t>
  </si>
  <si>
    <t>Krit.</t>
  </si>
  <si>
    <t>S15</t>
  </si>
  <si>
    <t>Météosuisse</t>
  </si>
  <si>
    <t>Plus d’information sur le NCCS :</t>
  </si>
  <si>
    <t>Vers le site du NCCS</t>
  </si>
  <si>
    <t>Zur Website des NCCS</t>
  </si>
  <si>
    <t>Weitere Informationen zu NCCS:</t>
  </si>
  <si>
    <t>Meteoschweiz</t>
  </si>
  <si>
    <t>Einige Kriterien bleiben unverändert:</t>
  </si>
  <si>
    <t>Einige Kriterien erhalten einen neuen Bezeichnung:</t>
  </si>
  <si>
    <t>Einige Kriterien werden herausgenommen:</t>
  </si>
  <si>
    <t>Sind Gemeinschaftsräume mit hoher Aufenthaltsqualität vorgesehen, die als Treffpunkt für die Gebäudenutzenden dienen und auch künftig ein angemessenes Abkühlungsangebot anbieten?</t>
  </si>
  <si>
    <t xml:space="preserve">Ist die optimierte Nutzung des Tageslichts Teil des Projektauftrags? </t>
  </si>
  <si>
    <t>Besitzt das Gebäude einen gut funktionierenden aussenliegenden, beweglichen Sonnenschutz?</t>
  </si>
  <si>
    <t>Werden ausschliesslich Fenster mit 3-fach-Verglasungen vorgesehen?</t>
  </si>
  <si>
    <t>Werden die zu erwartenden Auswirkungen des Klimawandels, insbesondere für die Kühllast und den Unterhalt infolge Witterungsschäden, bei den Lebenszykluskosten und im Betriebskonzept berücksichtigt?</t>
  </si>
  <si>
    <t>Werden in den Lebenszykluskosten finanzielle Aufwände in Zusammenhang mit der thermischen Behaglichkeit, insbesondere für die (künftige) Kühlung, untersucht und mitberücksichtigt?</t>
  </si>
  <si>
    <t>Werden zur Deckung des Wärmebedarfs fossile Energieträger vermieden, auch zur Deckung von Spitzenlasten oder als Anteil der Fernwärmeerzeugung?</t>
  </si>
  <si>
    <t>Besteht ein Konzept zum Energiemonitoring und werden dementsprechende Messeinrichtungen installiert bzw. wird die Messeinrichtung im Pflichtenheft vorgegeben?</t>
  </si>
  <si>
    <t>Ist eine langfristige Ablesung, Speicherung und Verarbeitung der Messergebnisse geplant bzw. gewährleistet?</t>
  </si>
  <si>
    <t>Sind bei der Wahl der Bepflanzung sowie beim Versickerungs- und Retentionskonzept die Veränderungen durch den Klimawandel (höhere Temperatur und heftigere Niederschläge) mitberücksichtigt worden und haben diese das Umgebungskonzept beeinflusst?</t>
  </si>
  <si>
    <t>Der Pre-Check liefert nur eine Abschätzung des Nachhaltigkeitsgrads eines Bauvorhabens und garantiert keine Zertifizierung des untersuchten Objekts. Im Einzelfall kann trotz gesamtheitlich gutem Pre-Check-Ergebnis eine Zertifizierung nicht möglich werden.
Es ist Benutzenden ausdrücklich untersagt, Ergebnisse aus dem Pre-Check für Werbezwecke (etwa in Verkaufsinformationen) zu verwenden.</t>
  </si>
  <si>
    <t>Est-ce que des espaces communs de grand confort, qui pourraient servir d'espace de rencontre aux utilisateurs du bâtiment et proposant également à l'avenir une offre de rafraîchissement appropriée, sont prévus?</t>
  </si>
  <si>
    <t>Le bâtiment dispose-t-il d'une protection solaire mobile extérieure qui fonctionne bien ?</t>
  </si>
  <si>
    <t>Les effets attendus du changement climatique, notamment pour la charge de rafraichissement et pour l'entretien suite aux dégâts causés par les intempéries, sont-ils pris en compte dans les coûts du cycle de vie et dans le concept de fonctionnement ?</t>
  </si>
  <si>
    <t>Est-ce que les coûts liés au confort thermique, notamment pour le (futur) besoin en rafraichissement, ont-été analysés et inclus dans les coûts du cycle de vie ?</t>
  </si>
  <si>
    <t>Des mesures spécifiques au changement climatique telles que la minimisation des heures de surchauffe (p. ex. automatisation du refroidissement nocturne, sensibilisation des utilisatrices et utilisateurs) font-elles partie du concept de fonctionnement du bâtiment ?</t>
  </si>
  <si>
    <t>Est-il possible d'équiper le bâtiment d'un système de rafraichissement ou de ventilation efficace afin de respecter les valeurs indicatives ''opération'' selon le MB SIA 2040 en utilisant les données climatiques SIA du futur pour la période ''2060'', scénario RCP 8.5 ?</t>
  </si>
  <si>
    <t>Est-il prévu d'éviter les isolants avec des composants problématiques pour l'environnement (p. ex. produits avec retardateur de flamme ou avec des composantes halogénées) ou la renonciation est-elle formulée dans le cahier des charges?</t>
  </si>
  <si>
    <t>Lors du choix des plantations et du concept d'infiltration et de rétention, les modifications dues au changement climatique (température plus élevée et précipitations plus fortes) ont-elles été prises en compte et ont-elles influencé le concept environnemental ?</t>
  </si>
  <si>
    <t>Des végétaux résistants au climat ont-ils été prévus pour l'aménagement des environs ?</t>
  </si>
  <si>
    <t>Les précipitations particulièrement fortes attendues à l'avenir ont-elles été suffisamment considérées dans le concept d'infiltration et de rétention ?</t>
  </si>
  <si>
    <t>https://www.minergie.ch/de/zertifizieren/eco/</t>
  </si>
  <si>
    <t>141</t>
  </si>
  <si>
    <t>K111</t>
  </si>
  <si>
    <t>K112a</t>
  </si>
  <si>
    <t>K112b</t>
  </si>
  <si>
    <t>K113a</t>
  </si>
  <si>
    <t>K113b</t>
  </si>
  <si>
    <t>K211</t>
  </si>
  <si>
    <t>K121</t>
  </si>
  <si>
    <t>K122</t>
  </si>
  <si>
    <t>K131</t>
  </si>
  <si>
    <t>K144</t>
  </si>
  <si>
    <t>K146</t>
  </si>
  <si>
    <t>K221</t>
  </si>
  <si>
    <t>K223</t>
  </si>
  <si>
    <t>K334</t>
  </si>
  <si>
    <t>K342</t>
  </si>
  <si>
    <t>Italiano</t>
  </si>
  <si>
    <t>Bitte eine Sprache auswählen / Merci de choisir votre langue / Prego, selezionare la lingua</t>
  </si>
  <si>
    <t>Bitte ein Tool auswählen / Merci de choisir votre outil / Prego, selezionare lo strumento</t>
  </si>
  <si>
    <t>Info [2]</t>
  </si>
  <si>
    <t>Info [3]</t>
  </si>
  <si>
    <t>Info [4]</t>
  </si>
  <si>
    <t>Info [5]</t>
  </si>
  <si>
    <t>Info [6]</t>
  </si>
  <si>
    <t>Info [7]</t>
  </si>
  <si>
    <t>Info [8]</t>
  </si>
  <si>
    <t>Info</t>
  </si>
  <si>
    <t>*Lien dans la Info.</t>
  </si>
  <si>
    <t xml:space="preserve"> Info </t>
  </si>
  <si>
    <t>Der Raumtyp kann abgefragt werden unter:</t>
  </si>
  <si>
    <t>Link zur Karte mit Raumtypen</t>
  </si>
  <si>
    <t>121, 313</t>
  </si>
  <si>
    <t>Qualität der Entwicklung</t>
  </si>
  <si>
    <t>143, 341</t>
  </si>
  <si>
    <t>121 313</t>
  </si>
  <si>
    <t>Auf welche Weise erfolgt die Lüftung des Gebäudes? (Bei kombinierten Systemen, bitte die Option wählen mit dem grösseren Flächenanteil)</t>
  </si>
  <si>
    <t>143 431</t>
  </si>
  <si>
    <t>142 144 145 146 213 311 321 322 332 334 342</t>
  </si>
  <si>
    <t>142 144 145 213 311 321 322 331 332 334 342</t>
  </si>
  <si>
    <t>144 145 322 334</t>
  </si>
  <si>
    <t>Qualité du développement</t>
  </si>
  <si>
    <t>Werden die definierten Ziele zu Beginn der SIA-Phase 3 als entsprechende Vereinbarungen in Pflichtenhefte verankert?</t>
  </si>
  <si>
    <t>Werden mit der Bauherrschaft im Auswahlverfahren (SIA-Phase 2) individuelle (Nachhaltigkeits-)Ziele detailliert festgelegt?</t>
  </si>
  <si>
    <t>Wurde eine spezifische Analyse des Bauvorhabens in Bezug auf den Klimawandel durchgeführt und wurden darauf basierend Ziele zu Klimaschutz und Klimaanpassung im Pflichtenheft verankert?</t>
  </si>
  <si>
    <t xml:space="preserve">Wurden in der frühen Planungsphase (strategische Planung, Vorstudien) Massnahmen zum Klimaschutz beim Bauvorhaben spezifisch mit Fachplanenden evaluiert? </t>
  </si>
  <si>
    <t>Wurden in der frühen Planungsphase (strategische Planung) Massnahmen zur Klimaanpas-sung beim Bauvorhaben spezifisch mit Fachplanenden evaluiert?</t>
  </si>
  <si>
    <t>311 321</t>
  </si>
  <si>
    <t>Italienisch</t>
  </si>
  <si>
    <t>Questionario</t>
  </si>
  <si>
    <t>Domande iniziali</t>
  </si>
  <si>
    <t>Informazioni supplementari</t>
  </si>
  <si>
    <t>11 Kriterien</t>
  </si>
  <si>
    <t>11 Criteri</t>
  </si>
  <si>
    <t>4 Criteri</t>
  </si>
  <si>
    <t>11 Critères</t>
  </si>
  <si>
    <t>4 Critères</t>
  </si>
  <si>
    <t>Klima-Check</t>
  </si>
  <si>
    <t>Le ''Check Climat'' permet une approche thématique des scénarios climatiques futurs. Dans les premières phases de projet, il offre également un support aux prises de décisions concernant les éventuelles adaptations conceptuelles nécessaires à un bâtiment pour l'optimisation de son comportement sur l'ensemble de son cycle de vie.</t>
  </si>
  <si>
    <t>Les questions de critère ''Check Climat'' peuvent également avoir des questions secondaires.</t>
  </si>
  <si>
    <t>Représentation des résultats du ''Check Climat''</t>
  </si>
  <si>
    <t>Le calcul des taux des exigences ''Check Climat'' atteint fonctionne de la même manière pour le ''Check Climat'' et le ''Pre-Check''. Il est décrit en détail dans la section ''Méthode de calcul'' plus tôt dans l'introduction.</t>
  </si>
  <si>
    <t>Résultats de l'évaluation Check Climat</t>
  </si>
  <si>
    <t>Structure du Check Climat</t>
  </si>
  <si>
    <t>La structure du Check Climat se base adaptation des critères SNBS pour le thème du changement climatique.</t>
  </si>
  <si>
    <t>Der «Klima-Check» ermöglicht eine thematische Annäherung an die Bedeutung der künftigen Klimaszenarien. Er liefert zudem konzeptionelle Denkanstösse in der frühen Projektierungsphase zur Optimierung des Gebäudeverhaltens über deren gesamten Lebenszyklus.</t>
  </si>
  <si>
    <t>Struktur des Klima-Checks</t>
  </si>
  <si>
    <t>Fragenkatalog Klima-Check</t>
  </si>
  <si>
    <t>Der Reduktionsmethode und die Bewertung der Fragen funktionieren beim ''Pre-Check'' und beim ''Klima-Check'' auf ähnliche Weise. Die Fragen, die beim Fragebogen gestellt werden, hängen von der Auswahl des Tools ab, das Sie auf der Startseite "Tool" ausgewählt haben. Sie können das Tool jederzeit über die dafür vorgesehene Schaltfläche im Menü oben auf der Seite wechseln.</t>
  </si>
  <si>
    <t>Es ist auch möglich nur den ''Klima-Check'' durchzuführen.</t>
  </si>
  <si>
    <t>Ergebnisdarstellung zum ''Klima-Check''</t>
  </si>
  <si>
    <t>Ergebnisdarstellung für den Klima-Check</t>
  </si>
  <si>
    <t>Struktur der «Klima-Check» Ergebnisdarstellung</t>
  </si>
  <si>
    <t>Die «Klima-Check» Ergebnisdarstellung basiert auf SNBS-Kriterien, die zur Abbildung der Klimawandelthemen angepasst wurden</t>
  </si>
  <si>
    <t>Der Pre-Check SNBS 2023.1 Hochbau funktioniert mit Makros. Ist es für Sie nicht möglich, Makros zu aktivieren, versuchen Sie bitte die Datei in einem neuen Ordner zu speichern und neu zu starten.</t>
  </si>
  <si>
    <t xml:space="preserve">Die unten stehende Tafel liefert eine Übersicht zur Struktur des ''Klima-Check SNBS 2023.1 Hochbau'': </t>
  </si>
  <si>
    <t>Le tableau ci-dessous représente un aperçu de la structure du ''Check Climat SNBS 2023.1 Bâtiment'' :</t>
  </si>
  <si>
    <t>Prozent-Klima-Check</t>
  </si>
  <si>
    <t>Risanamento</t>
  </si>
  <si>
    <t>Critère</t>
  </si>
  <si>
    <t>Criterio</t>
  </si>
  <si>
    <t>Habitat</t>
  </si>
  <si>
    <t>Residenziale</t>
  </si>
  <si>
    <t>Amministrativo</t>
  </si>
  <si>
    <t>Uso al piano terra</t>
  </si>
  <si>
    <t>Scuola</t>
  </si>
  <si>
    <t>Che tipo di progetto di costruzione viene valutato?</t>
  </si>
  <si>
    <t>Hauptkategorie des Gebäudes nach dem Bauvorhaben? (gegebenenfalls Antwort mit der grössten Nutzungsfläche auswählen)</t>
  </si>
  <si>
    <t>Dove si trova l'edificio?</t>
  </si>
  <si>
    <t>Domande introduttive</t>
  </si>
  <si>
    <t>Domande trasversali</t>
  </si>
  <si>
    <t>Questions transversales</t>
  </si>
  <si>
    <t>4 Kriterien</t>
  </si>
  <si>
    <t>1Erneuerung</t>
  </si>
  <si>
    <t>Wird in der strategischen Planung (SIA-Phase 1) eine strategische Schulraumplanung mit Bezug zu Leitbildern der Bildungslandschaft durchgeführt, ein betrieblich-pädagogisches Konzept verfasst und werden übergeordnete sowie individuelle Ziele in Form von Pflichtenhefte verankert?</t>
  </si>
  <si>
    <t>Wurde in der Projektinitialisierung (SIA-Phase 0) das Vorhaben mit der Bauherrschaft auf übergeordnete Leitbilder (Bund, Kanton, Gemeinde, Quartier) überprüft und werden übergeordnete sowie individuelle Ziele festgelegt und in Pflichtenheften verankert?</t>
  </si>
  <si>
    <t>Sind die evaluierten Ziele zu Klimaschutz und Klimaanpassung als verbindliche Vorgaben in die Pflichtenhefte des Bauvorhabens aufgenommen worden?</t>
  </si>
  <si>
    <t>Gli obiettivi valutati di protezione del clima e di adattamento al clima sono stati inclusi come requisiti vincolanti nelle specifiche del progetto di costruzione?</t>
  </si>
  <si>
    <t>Qualità dello sviluppo</t>
  </si>
  <si>
    <t>Ist eine hohe architektonische und städtebauliche Qualität oder der Erhalt von baukulturellem Wert durch den Beizug von qualifizierten Fachleuten gewährleistet?</t>
  </si>
  <si>
    <t>Il coinvolgimento di esperti qualificati garantisce un elevato livello di qualità architettonica e urbanistica o la conservazione del valore culturale architettonico?</t>
  </si>
  <si>
    <t>Le projet se distingue-t-il par une haute qualité ou la préservation d'une valeur culturelle architecturale assurée par la participation des spécialistes qualifiés dans le domaine ?</t>
  </si>
  <si>
    <t>Werden Windrichtung und Luftströme im städtebaulichen Kontext analysiert?</t>
  </si>
  <si>
    <t>La direction du vent et les flux d'air sont-ils analysés dans le contexte de l'urbanisme ?</t>
  </si>
  <si>
    <t>La disposizione della geometria dell'edificio e la pianificazione ambientale contribuiscono alla formazione di corridoi d'aria fresca e di corridoi verdi?</t>
  </si>
  <si>
    <t>La disposition de la géométrie des bâtiments et la planification des environs contribuent-elles à la formation de couloirs d'air frais et de corridors verts ?</t>
  </si>
  <si>
    <r>
      <t>Zeigt die Bauherrschaft durch die Vorgabe eines CO</t>
    </r>
    <r>
      <rPr>
        <vertAlign val="subscript"/>
        <sz val="11"/>
        <rFont val="Calibri"/>
        <family val="2"/>
        <scheme val="minor"/>
      </rPr>
      <t>2</t>
    </r>
    <r>
      <rPr>
        <sz val="11"/>
        <rFont val="Calibri"/>
        <family val="2"/>
        <scheme val="minor"/>
      </rPr>
      <t xml:space="preserve">-Ziels sowie eines flexiblen Raumprogramms Offenheit für innovative Architekturlösungen, die klimarelevante Verbesserungen fördern, und werden im Planerwahlverfahren die Themen des Klimawandels berücksichtigt? </t>
    </r>
  </si>
  <si>
    <t>Wurde ein flexibles Raumprogramm als Basis vorgegeben, das klimarelevante Innovationen und suffiziente Lösungen nicht durch starre Vorgaben einschränkt?</t>
  </si>
  <si>
    <r>
      <t>Wird bereits in der Ausschreibung oder im Wettbewerb eine CO</t>
    </r>
    <r>
      <rPr>
        <vertAlign val="subscript"/>
        <sz val="11"/>
        <rFont val="Calibri"/>
        <family val="2"/>
        <scheme val="minor"/>
      </rPr>
      <t>2</t>
    </r>
    <r>
      <rPr>
        <sz val="11"/>
        <rFont val="Calibri"/>
        <family val="2"/>
        <scheme val="minor"/>
      </rPr>
      <t>-Bilanz für das Bauvorhaben zwingend verlangt?</t>
    </r>
  </si>
  <si>
    <t>Hat man beim Planerwahlverfahren Referenzen und Kompetenzen bezüglich der Klimawandelsensibilität berücksichtigt?</t>
  </si>
  <si>
    <t>Wurden Lösungen bei Interessenskonflikten mit Nachbarn oder anderen Interessierten gesucht bzw. Interessenskonflikte gelöst?</t>
  </si>
  <si>
    <t>Sono state cercate soluzioni ai conflitti di interesse con i vicini o altre parti interessate o sono stati risolti i conflitti di interesse?</t>
  </si>
  <si>
    <t xml:space="preserve">Wird beim Projekt der Dialog mit allen Interessengruppen (zukünftige Nutzende, Nachbarschaft, Verbände usw.) frühzeitig gesucht, um deren Teilhabe im Planungsprozess zu ermöglichen? </t>
  </si>
  <si>
    <t>Werden zukünftige Bewohnende oder eine Stellvertretung (Soziologen, Wohnbau-Expertinnen) über das Projekt direkt informiert und ihr Feedback in das Projekt einbezogen?</t>
  </si>
  <si>
    <t>Les futurs habitants ou un substitut (sociologues, experts en logement) sont-ils directement informés du projet et leur feedback est-il pris en compte dans le projet ?</t>
  </si>
  <si>
    <t>Werden zukünftige Nutzende oder eine Stellvertretung der Angestellten über das Projekt direkt informiert und ihr Feedback in das Projekt einbezogen?</t>
  </si>
  <si>
    <t>Les futurs utilisateurs ou un suppléant des employés sont-ils directement informés du projet et leur feedback est-il pris en compte dans le projet ?</t>
  </si>
  <si>
    <t>Werden zukünftige Nutzende oder Stellvertretungen der Lernenden und Lehrpersonen über das Projekt direkt informiert und ihr Feedback in das Projekt einbezogen?</t>
  </si>
  <si>
    <t>Les futurs utilisateurs ou remplaçants des apprenants et des enseignants sont-ils directement informés du projet et leur feedback est-il pris en compte dans le projet ?</t>
  </si>
  <si>
    <t>Berücksichtigt das Gebäudekonzept die Bedürfnisse und Gewohnheiten der zukünftigen Nutzenden in Bezug auf Anwesenheitszeiten, Lüftungsverhalten und Steuerung der Verschattung und werden die Nutzenden in Bezug auf Überhitzung und unterstützende Automatisierung sensibilisiert?</t>
  </si>
  <si>
    <t>Werden die Gewohnheiten und Bedürfnisse der Nutzenden in Bezug auf Anwesenheitszeiten, Lüftungsverhalten und Steuerung der Verschattung analysiert und im Betriebskonzept berücksichtigt?</t>
  </si>
  <si>
    <t>Erhalten die zukünftigen Nutzenden entsprechende Instruktionen und Hinweise, um sie gezielt darauf zu sensibilisieren, wie ihr Verhalten in Bezug auf Lüften und Verschattung zur Vermeidung von Überhitzung beiträgt?</t>
  </si>
  <si>
    <t>Est-ce que les futurs utilisateurs reçoivent des instructions et des conseils appropriés afin de les sensibiliser de manière ciblée à la manière dont leur comportement en matière d'aération et d'ombrage contribue à éviter la surchauffe ?</t>
  </si>
  <si>
    <t>Werden die Nutzenden in Bezug auf die unterstützende Wirkung der vorhandenen Automatisierung aufmerksam gemacht und anhand von passenden Instruktionen sensibilisiert?</t>
  </si>
  <si>
    <t>Werden die Nutzenden gezielt dazu ermutigt und unterstützt, durch ihr Verhalten im Gebäude (Energieverbrauch), ihre Mobilität und die gemeinsame Nutzung von Ressourcen zum Klimaschutz beizutragen?</t>
  </si>
  <si>
    <t>Gli utenti sono specificamente incoraggiati e sostenuti a contribuire alla protezione del clima attraverso il loro comportamento nell'edificio (consumo energetico), la loro mobilità e l'uso condiviso delle risorse?</t>
  </si>
  <si>
    <t>Werden die Nutzenden aktiv dazu ermutigt, die Treibhausgasemissionen im Betrieb zu reduzieren (zum Beispiel durch einsehbares Monitoring, bereitgestellte Tipps oder Anleitungen zum Lüften und Heizen sowie moderne Stromleisten)?</t>
  </si>
  <si>
    <t>Gli utenti sono incoraggiati attivamente a ridurre le emissioni di gas a effetto serra durante il funzionamento (ad esempio, attraverso un monitoraggio visibile, consigli o istruzioni sulla ventilazione e il riscaldamento e moderne prese di corrente)?</t>
  </si>
  <si>
    <t>Gli utenti sono sostenuti da misure mirate per rendere le loro abitudini di consumo più sostenibili e quindi ridurre le emissioni di gas serra nella fabbricazione dei prodotti? (ad esempio, condivisione di beni di consumo, mercati dell'usato e offerte per evitare gli sprechi alimentari)</t>
  </si>
  <si>
    <t>Angebot und Erreichbarkeit</t>
  </si>
  <si>
    <t>Accessibilité et commodités</t>
  </si>
  <si>
    <t>Offerta e raggiungibilità</t>
  </si>
  <si>
    <t xml:space="preserve">Besteht das Angebot einer angemessenen Grundversorgung für das nähere Projektumfeld (max. 10 Minuten Gehdistanz) und weist es eine gute ÖV-Erschliessung auf? </t>
  </si>
  <si>
    <t>Wird das Gebäude nach Minergie-(A/P)-ECO® Standard erneuert?</t>
  </si>
  <si>
    <t>Wird das Gebäude nach Minergie-(A/P)® Standard erneuert?</t>
  </si>
  <si>
    <t>È previsto il risanamento dell'edificio secondo lo standard Minergie-(A/P)-ECO®?</t>
  </si>
  <si>
    <t>È previsto il risanamento dell'edificio secondo lo standard Minergie-(A/P)®?</t>
  </si>
  <si>
    <t>Est-il prévu de rénover le bâtiment selon le standard Minergie-(A/P)-ECO® ?</t>
  </si>
  <si>
    <t>Est-il prévu de rénover le bâtiment selon le standard Minergie-(A/P)® ?</t>
  </si>
  <si>
    <t>Bb + Ern / Andere (Land)</t>
  </si>
  <si>
    <t>Ecole + Ren / Autre (Camp.)</t>
  </si>
  <si>
    <t>Scuola + Ris / Altri (Camp.)</t>
  </si>
  <si>
    <t>Est-ce que le bâtiment ou le terrain présente une qualité de desserte par les TP de classe D ou supérieure ?</t>
  </si>
  <si>
    <t>Weist das Gebäude bzw. das Grundstück ÖV-Güteklasse D oder besser auf?</t>
  </si>
  <si>
    <t>La struttura scolastica (scuola diurna, mensa, doposcuola) è accessibile agli utenti attraverso percorsi sicuri e brevi (distanza pedonale sicura &lt; 500 m)?</t>
  </si>
  <si>
    <t>Existent-ils des espaces verts avec un effet de rafraîchissement suffisant (ombrage, plans d'eau, fontaines) à proximité du projet (&lt; 1 km à pied) ?</t>
  </si>
  <si>
    <t>Sind öffentliche Grünanlagen mit genügendem Abkühlungspotenzial (Beschattung, Wasserflächen, grossflächige Brunnen) in zehnminütiger Gehdistanz (&lt; 1 km zu Fuss) vom Projektumfeld vorhanden?</t>
  </si>
  <si>
    <t>Besteht für das nähere Projektumfeld (max. 10 Minuten Gehdistanz) das Angebot einer niederschwellig zugänglichen Erholungsinfrastruktur bei verlängerten Hitzeperioden mit beschatteten Grünflächen, zugänglichen Wasseranlagen und kühlen Innenräumen?</t>
  </si>
  <si>
    <t>Sind über die die gesetzlichen Vorgaben zum hindernisfreien Bauen hinaus weitere Massnahmen gemäss SIA 500 in den Themenbereichen bauliche Strukturen, Anpassbarkeit und Nutzerfreundlichkeit getroffen, die die den Komfort und die Zugänglichkeit für alle Nutzergruppen verbessern?</t>
  </si>
  <si>
    <t>Au-delà des exigences légales en matière de construction sans obstacles, d'autres mesures ont-elles été prises conformément à la norme SIA 500 dans les domaines des structures architecturales, de l'adaptabilité et de la convivialité, afin d'améliorer le confort et l'accessibilité pour tous les groupes d'utilisateurs ?</t>
  </si>
  <si>
    <t>Oltre ai requisiti di legge per una costruzione priva di ostacoli, sono state adottate ulteriori misure in conformità alla norma SIA 500 nelle aree delle strutture edilizie, dell'adattabilità e della facilità d'uso per migliorare il comfort e l'accessibilità per tutti i gruppi di utenti?</t>
  </si>
  <si>
    <t>Ist die Bewilligungsfähigkeit des Bauprojektes hinsichtlich hindernisfreien Bauens gegeben?</t>
  </si>
  <si>
    <t>Est-ce que le projet de construction peut être autorisé en ce qui concerne la construction sans obstacles ?</t>
  </si>
  <si>
    <t>Wird eine qualifizierte Fachstelle zur Beurteilung des hindernisfreien Bauens herangezogen?</t>
  </si>
  <si>
    <t>Est-ce qu'il est fait appel à un organisme spécialisé qualifié pour évaluer la construction sans obstacles ?</t>
  </si>
  <si>
    <t>Des exigences accrues sont-elles appliquées à la structure du bâtiment ?  (p. ex. corridors de 1.2 m, faibles hauteurs de seuil, accès sans obstacle à l'entrée principale et aux places de stationnement des voitures, places de parking accessibles en fauteuil roulant)</t>
  </si>
  <si>
    <t>Des exigences accrues sont-elles appliquées à la structure du bâtiment ?  (p. ex. corridors de 1.2 m, faibles hauteurs de seuil, accès sans obstacle à l'entrée principale, à la cave et aux places de stationnement des voitures, espaces pour garer les fauteuils roulants/roulants, places de parking accessibles en fauteuil roulant)</t>
  </si>
  <si>
    <t>Des exigences accrues sont-elles appliquées à la structure du bâtiment ?  (p. ex. corridors de 1.4 m, portes sans seuil, paliers intermédiaires dans les escaliers et les rampes, espaces pour garer les fauteuils roulants/roulants, places de parking accessibles en fauteuil roulant)</t>
  </si>
  <si>
    <t>Est-ce que des exigences accrues en matière d'adaptabilité ou de convivialité sont mises en œuvre ? (p. ex. possibilité d'installer ultérieurement un monte-escalier et des mains courantes, mesures pour les malvoyants et les malentendants, bon éclairage, poignées de WC pouvant être installées ultérieurement, sièges dans l'entrée)</t>
  </si>
  <si>
    <t>Werden deren Empfehlungen die von ihr vorgeschlagenen Massnahmen umgesetzt?</t>
  </si>
  <si>
    <t>Les mesures proposées par ses recommandations sont-elles mises en œuvre ?</t>
  </si>
  <si>
    <t>Y a-t-il dans le bâtiment des infrastructures et des locaux accessibles sans obstacle au cas où des personnes seraient victimes d'un malaise dû à une surchauffe (p. ex. fontaine d'eau potable, lavabo, espaces de repos) ?</t>
  </si>
  <si>
    <t>Werden Anschlüsse und Flächenbedarf für Wasserspender in öffentlichen Bereichen ausgewiesen?</t>
  </si>
  <si>
    <t>Est-il fait état des raccordements et des besoins en surface pour les fontaines à eau dans les espaces publics ?</t>
  </si>
  <si>
    <t>Ist das angedachte Kühl- und Erholungsangebot auch jederzeit hindernisfrei zugänglich?</t>
  </si>
  <si>
    <t>Qualité d’usage</t>
  </si>
  <si>
    <t>Qualità di utilizzo</t>
  </si>
  <si>
    <t>Gebrauchsqualität</t>
  </si>
  <si>
    <t>Stehen zugängliche Aussenräume in Gehdistanz (&lt; 5 Min.) oder auf dem Grundstück zur Verfügung, welche Begegnungen zwischen Nutzenden begünstigen?</t>
  </si>
  <si>
    <t>Ci sono spazi esterni accessibili a pochi passi (&lt; 5 minuti) o nella proprietà che favoriscono l'incontro tra gli utenti?</t>
  </si>
  <si>
    <t xml:space="preserve"> (p. ex. terrasses sur le toit, jardins, espaces communs, entrées spacieuses)</t>
  </si>
  <si>
    <t xml:space="preserve"> (p. ex. terrasses sur le toit, salles à manger communes, zones de pause, foyers)</t>
  </si>
  <si>
    <t xml:space="preserve"> (p. ex. jardins, salles polyvalentes, foyers, entrées et couloirs spacieux)</t>
  </si>
  <si>
    <t>Y a-t-il une offre de locaux utilisables en commun (par ex. salles communes, salles d'exercice, ateliers) pour les résidents et les personnes externes à distance de marche (&lt; 5 min) ou dans le bâtiment ?</t>
  </si>
  <si>
    <t>Esiste uno spazio comune (ad es. sale comuni, sale per esercizi, laboratori) a disposizione dei residenti e degli utenti esterni a pochi passi (&lt; 5 minuti) o nell'edificio?</t>
  </si>
  <si>
    <t>Steht ein gemeinschaftlich nutzbares Raumangebot (Essbereiche, Sitzungszimmer, Pausenzonen) für verschiedene Parteien von Nutzenden oder Externe zur Verfügung?</t>
  </si>
  <si>
    <t>Esiste uno spazio comune (sale da pranzo, sale riunioni, aree break) a disposizione di diversi gruppi di utenti o di soggetti esterni?</t>
  </si>
  <si>
    <t>Y a-t-il des espaces communs (salles à manger, salles de réunion, zones de pause) disponibles pour les différentes parties d'utilisateurs ou les personnes extérieures ?</t>
  </si>
  <si>
    <t xml:space="preserve">Est-ce que des espaces de rencontre et d'échange pour différentes parties sont proposés par les utilisateurs ou des personnes extérieures au bâtiment ? (p. ex. zones d'apprentissage ouvertes, salles de classe extérieures, bibliothèques, salles polyvalentes) </t>
  </si>
  <si>
    <t>Wird die Gestaltung und Qualitätssicherung der (halb)öffentlichen Räume auch im Betrieb mit Beteiligung der Nutzenden gewährleistet?</t>
  </si>
  <si>
    <t>Est-ce que l'aménagement et l'assurance qualité des espaces (semi-)publics sont également garantis en cours d'exploitation avec la participation des usagers ?</t>
  </si>
  <si>
    <t>Le projet de construction prévoit-il des offres de rafraîchissement collectives, accessibles à bas seuil, à l'intérieur et à l'extérieur, avec une infrastructure appropriée (p. ex. ombrage, mobilier), qui offrent une grande qualité de séjour pendant les périodes de chaleur ?</t>
  </si>
  <si>
    <t>Stehen beim Bauvorhaben gemeinschaftliche niederschwellig zugängliche  Innenräume zur Verfügung, welche während Hitzeperioden ein angenehmes Klima aufweisen?</t>
  </si>
  <si>
    <t>Le projet prévoit-il des espaces communs intérieurs accessibles facilement à tous et présentant un climat agréable pendant les périodes de chaleur ?</t>
  </si>
  <si>
    <t>Une infrastructure est-elle mise à disposition pour encourager l'utilisation des espaces extérieurs (p. ex. meubles de jardin) ?</t>
  </si>
  <si>
    <t>Vengono fornite infrastrutture adeguate (ad es. mobili da giardino) per incoraggiare l'uso di aree esterne ombreggiate?</t>
  </si>
  <si>
    <t xml:space="preserve"> (ad es., terrazze sul tetto, giardini, sale comuni, ampi spazi d'ingresso)</t>
  </si>
  <si>
    <t xml:space="preserve"> (ad es., terrazze sul tetto, aree pranzo comuni, zone di pausa, foyer)</t>
  </si>
  <si>
    <t xml:space="preserve"> (ad es., giardini, sale polifunzionali, atri, spaziose aree di ingresso e corridoi)</t>
  </si>
  <si>
    <t xml:space="preserve">L'edificio offre spazi di incontro e socializzazione per gli utenti o per gli esterni? (ad es., zone aperte per l'apprendimento, aule all'aperto, biblioteche, sale polivalenti). </t>
  </si>
  <si>
    <t>Wird beim Bauvorhaben das Sicherheitsgefühl der Nutzenden bewusst gestärkt, indem die Erschliessungs- und Verkehrsflächen im Gebäude, auf dem Grundstück sowie in der näheren Umgebung durch gezielte Beleuchtung und sicherheitsorientierte Wegführung übersichtlich bzw. benutzerfreundlich gestaltet sind?</t>
  </si>
  <si>
    <t>I percorsi e le aree comuni dello spazio esterno sono accessibili in modo sicuro dalle aule e dagli spazi di lavoro e sono ampiamente visibili?</t>
  </si>
  <si>
    <t>Besteht ein explizites Konzept zur künstlichen Beleuchtung der gemeinsam genutzten und öffentlich zugänglichen Bereiche?</t>
  </si>
  <si>
    <t>I principali percorsi pedonali e ciclabili nel bacino d'utenza dell'edificio scolastico sono sicuri (i percorsi corrono esclusivamente su marciapiedi, gli attraversamenti stradali sono illuminati e segnalati, le piste ciclabili sono fisicamente separate dalla strada)?</t>
  </si>
  <si>
    <t>Est-ce que les chemins déterminants pour les piétons et les cyclistes dans la zone d'influence du bâtiment de formation sont sûrs (les chemins passent exclusivement par des trottoirs, les traversées de route sont éclairées et marquées, les pistes cyclables sont séparées physiquement de la route) ?</t>
  </si>
  <si>
    <t>Benessere e salute</t>
  </si>
  <si>
    <r>
      <t>Kann das Lüftungskonzept eine sehr gute Raumluftqualität garantieren, so dass unter Einhaltung der SIA180:2014 stets ein niedriger CO</t>
    </r>
    <r>
      <rPr>
        <vertAlign val="subscript"/>
        <sz val="11"/>
        <color theme="1"/>
        <rFont val="Calibri"/>
        <family val="2"/>
        <scheme val="minor"/>
      </rPr>
      <t>2</t>
    </r>
    <r>
      <rPr>
        <sz val="11"/>
        <color theme="1"/>
        <rFont val="Calibri"/>
        <family val="2"/>
        <scheme val="minor"/>
      </rPr>
      <t>-Gehalt, Feuchteregelung und hervorragende Zuluftqualität garantiert sind?</t>
    </r>
  </si>
  <si>
    <r>
      <t>Est-ce que le concept de ventilation peut garantir une très bonne qualité de l'air intérieur, de sorte que, dans le respect de la norme SIA180:2014, une faible teneur en CO</t>
    </r>
    <r>
      <rPr>
        <vertAlign val="subscript"/>
        <sz val="11"/>
        <rFont val="Calibri"/>
        <family val="2"/>
        <scheme val="minor"/>
      </rPr>
      <t>2</t>
    </r>
    <r>
      <rPr>
        <sz val="11"/>
        <rFont val="Calibri"/>
        <family val="2"/>
        <scheme val="minor"/>
      </rPr>
      <t>, un contrôle de l'humidité et une excellente qualité de l'air entrant soient toujours garantis ?</t>
    </r>
  </si>
  <si>
    <r>
      <t>Il concetto di ventilazione può garantire un'ottima qualità dell'aria interna, in modo da garantire sempre un basso contenuto di CO</t>
    </r>
    <r>
      <rPr>
        <vertAlign val="subscript"/>
        <sz val="11"/>
        <rFont val="Calibri"/>
        <family val="2"/>
        <scheme val="minor"/>
      </rPr>
      <t>2</t>
    </r>
    <r>
      <rPr>
        <sz val="11"/>
        <rFont val="Calibri"/>
        <family val="2"/>
        <scheme val="minor"/>
      </rPr>
      <t>, il controllo dell'umidità e un'eccellente qualità dell'aria di mandata, in conformità alla norma SIA180:2014?</t>
    </r>
  </si>
  <si>
    <r>
      <t>Kann die Lüftungsanlage eine sehr gute Raumluftqualität garantieren, so dass unter Einhaltung der SIA180:2014 stets ein niedriger CO</t>
    </r>
    <r>
      <rPr>
        <vertAlign val="subscript"/>
        <sz val="11"/>
        <color theme="1"/>
        <rFont val="Calibri"/>
        <family val="2"/>
        <scheme val="minor"/>
      </rPr>
      <t>2</t>
    </r>
    <r>
      <rPr>
        <sz val="11"/>
        <color theme="1"/>
        <rFont val="Calibri"/>
        <family val="2"/>
        <scheme val="minor"/>
      </rPr>
      <t>-Gehalt, Feuchteregelung und hervorragende Zuluftqualität garantiert sind?</t>
    </r>
  </si>
  <si>
    <r>
      <t>Il sistema di ventilazione può garantire un'ottima qualità dell'aria interna, in modo da garantire sempre un basso contenuto di CO</t>
    </r>
    <r>
      <rPr>
        <vertAlign val="subscript"/>
        <sz val="11"/>
        <rFont val="Calibri"/>
        <family val="2"/>
        <scheme val="minor"/>
      </rPr>
      <t>2</t>
    </r>
    <r>
      <rPr>
        <sz val="11"/>
        <rFont val="Calibri"/>
        <family val="2"/>
        <scheme val="minor"/>
      </rPr>
      <t>, il controllo dell'umidità e un'eccellente qualità dell'aria di mandata, in conformità alla norma SIA180:2014?</t>
    </r>
  </si>
  <si>
    <r>
      <t>Est-ce que l'installation de ventilation peut garantir une très bonne qualité de l'air intérieur, de sorte que, dans le respect de la norme SIA180:2014, une faible teneur en CO</t>
    </r>
    <r>
      <rPr>
        <vertAlign val="subscript"/>
        <sz val="11"/>
        <rFont val="Calibri"/>
        <family val="2"/>
        <scheme val="minor"/>
      </rPr>
      <t>2</t>
    </r>
    <r>
      <rPr>
        <sz val="11"/>
        <rFont val="Calibri"/>
        <family val="2"/>
        <scheme val="minor"/>
      </rPr>
      <t>, un contrôle de l'humidité et une excellente qualité de l'air entrant soient toujours garantis ?</t>
    </r>
  </si>
  <si>
    <r>
      <t>Ist ein Konzept vorgesehen, welches durch einen ausreichenden Aussenluft-Volumenstrom eine angemessene Raumluftqualität hinsichtlich der CO</t>
    </r>
    <r>
      <rPr>
        <vertAlign val="subscript"/>
        <sz val="11"/>
        <color theme="1"/>
        <rFont val="Calibri"/>
        <family val="2"/>
        <scheme val="minor"/>
      </rPr>
      <t>2</t>
    </r>
    <r>
      <rPr>
        <sz val="11"/>
        <color theme="1"/>
        <rFont val="Calibri"/>
        <family val="2"/>
        <scheme val="minor"/>
      </rPr>
      <t>-Belastung ermöglicht?</t>
    </r>
  </si>
  <si>
    <r>
      <t>Est-ce qu'un concept permettant d'obtenir une qualité d'air intérieur adéquate en termes de charge en CO</t>
    </r>
    <r>
      <rPr>
        <vertAlign val="subscript"/>
        <sz val="11"/>
        <rFont val="Calibri"/>
        <family val="2"/>
        <scheme val="minor"/>
      </rPr>
      <t>2</t>
    </r>
    <r>
      <rPr>
        <sz val="11"/>
        <rFont val="Calibri"/>
        <family val="2"/>
        <scheme val="minor"/>
      </rPr>
      <t xml:space="preserve"> grâce à un débit d'air extérieur suffisant est prévu ?</t>
    </r>
  </si>
  <si>
    <r>
      <t>È previsto un concetto che consenta un'adeguata qualità dell'aria interna per quanto riguarda l'inquinamento da CO</t>
    </r>
    <r>
      <rPr>
        <vertAlign val="subscript"/>
        <sz val="11"/>
        <rFont val="Calibri"/>
        <family val="2"/>
        <scheme val="minor"/>
      </rPr>
      <t>2</t>
    </r>
    <r>
      <rPr>
        <sz val="11"/>
        <rFont val="Calibri"/>
        <family val="2"/>
        <scheme val="minor"/>
      </rPr>
      <t xml:space="preserve"> grazie a un flusso sufficiente di aria esterna?</t>
    </r>
  </si>
  <si>
    <t>Ist ein Konzept vorgesehen, welches durch Luftmengensteuerung oder Befeuchtungsmassnahmen eine angemessene Raumluftfeuchte unter Einhaltung der hygienischen Anforderungen ermöglicht?</t>
  </si>
  <si>
    <t>Est-ce qu'il est prévu un concept qui permette de maintenir un taux d'humidité adéquat dans les locaux tout en respectant les exigences en matière d'hygiène grâce à un contrôle du débit d'air ou à des mesures d'humidification ?</t>
  </si>
  <si>
    <t>È previsto un concetto che utilizza il controllo del volume d'aria o misure di umidificazione per garantire un'adeguata umidità dell'aria nella stanza, nel rispetto dei requisiti igienici?</t>
  </si>
  <si>
    <t xml:space="preserve">Wird mittels Filter eine sehr hohe Qualität der Zuluft gewährleistet? </t>
  </si>
  <si>
    <t xml:space="preserve">Est-ce qu'une très haute qualité de l'air entrant est garantie au moyen de filtres ? </t>
  </si>
  <si>
    <t xml:space="preserve">La qualità dell'aria di mandata è garantita dai filtri? </t>
  </si>
  <si>
    <t>Il corretto funzionamento e la manutenzione dei filtri, degli elementi a valle e dei sistemi di aria di scarico esistenti sono regolati da un contratto di gestione e manutenzione? (“Sì” se non sono presenti filtri ed elementi di flusso secondari e non è richiesto un sistema di aria di scarico)</t>
  </si>
  <si>
    <t>Wird der korrekte Betrieb und die Instandhaltung der vorhandenen Filter, Nachströmelemente und Abluftanlagen in einem Betriebs- und Wartungsvertrag geregelt? («Ja» wenn keine Filter u. Nachstömelemente vorhanden sind und keine Abluftanlage benötigt wird)</t>
  </si>
  <si>
    <t>Est-ce que le fonctionnement et l'entretien corrects des filtres, des éléments de post-traitement et des systèmes d'extraction d'air existants sont régis par un contrat d'exploitation et de maintenance ? (« Oui » s'il n'y a pas de filtres et d'éléments de post-traitement et si aucune installation d'évacuation d'air n'est nécessaire)</t>
  </si>
  <si>
    <t>Est-il possible de garantir un renouvellement de l'air suffisant du point de vue de l'hygiène par des mesures conceptuelles appropriées ? (p. ex. accessibilité des gaines, nettoyabilité)</t>
  </si>
  <si>
    <t>Wird eine hygienisch ausreichende Lufterneuerung mit geeigneten konzeptionellen Massnahmen sichergestellt? (z. B. Zugänglichkeit von Schächten, Reinigungsfähigkeit)</t>
  </si>
  <si>
    <t>È garantito un adeguato ricambio d'aria igienico con misure concettuali adeguate? (ad es. accessibilità dei pozzi, pulibilità)</t>
  </si>
  <si>
    <t>Werden Massnahmen getroffen, welche sicherstellen, dass die Radonkonzentration eingedämmt wird (z. B. kein Unterdruck im Gebäude, sorgfältige Abdichtung von erdberührten Räumen)?</t>
  </si>
  <si>
    <t>Sono state adottate misure per garantire il contenimento della concentrazione di radon (ad esempio, nessuna pressione negativa nell'edificio, un'accurata sigillatura dei locali a contatto con il terreno)?</t>
  </si>
  <si>
    <t>Un plan de zone RNI (rayonnements non ionisants) est-il  établi pour l'ensemble du bâtiment et des recommandations relatives à l'électrosmog sont-elles mises en œuvre ?</t>
  </si>
  <si>
    <t>Wird in beheizten Innenräumen auf die Verwendung von Baustoffen verzichtet, welche relevante Mengen an Formaldehyd in die Raumluft abgeben (z. B. Holzwerkstoffe, Akustikputzsysteme, Mehrschichtparkett)?</t>
  </si>
  <si>
    <t>Weist das Projekt eine begrünte Umgebung auf (z. B. in Form von Grünflächen, Bäumen, Fassaden- und Dachbegrünungen)?</t>
  </si>
  <si>
    <t>Wird der Bezug zu übergeordneten Zielsetzungen, Leitbildern und Planungen gemacht, z. B. der Schulgemeinde oder der Bildungsdirektion?</t>
  </si>
  <si>
    <t>Wird der Bezug zu übergeordneten Zielsetzungen, Leitbildern oder Planungen gemacht, z. B. des Quartiers, der Gemeinde, des Kantons oder des Bundes gemacht?</t>
  </si>
  <si>
    <t>Zeichnet sich das Gebäude durch eine hohe Funktionalität aus, z. B. durch die Zweckmässigkeit der Raumorganisation und Eignung für die vorgesehene Nutzung?</t>
  </si>
  <si>
    <t>Wurden beim Bauvorhaben städtebauliche und architektonische Aspekte im Zusammenhang mit dem Klimawandel (z. B. Gebäudestellung zur Windrichtung) explizit berücksichtigt und Vorgaben dazu befolgt?</t>
  </si>
  <si>
    <t>Wurden Informationen zum Projekt niederschwellig zur Verfügung gestellt, z. B. online?</t>
  </si>
  <si>
    <t>Wird den Nutzenden aktiv dabei geholfen, die Treibhausgasemissionen durch Mobilität zu reduzieren, z. B. durch die Bereitstellung von Austauschplattformen zur Förderung von Fahrgemeinschaften?</t>
  </si>
  <si>
    <t>Werden die Nutzenden durch gezielte Massnahmen unterstützt ihre Konsumgewohnheiten nachhaltiger zu gestalten und damit die Treibhausgasemissionen bei der Herstellung von Produkten zu senken? (z. B. Sharing von Gebrauchsgegenständen, Second-Hand-Märkte und Angebote zur Vermeidung von Food-Waste)</t>
  </si>
  <si>
    <t>Werden erhöhte Anforderungen an bauliche Strukturen umgesetzt? (z. B. Korridore und Wege min. 1.20 m, geringe Schwellenhöhen, hindernisfreier Zugang zu Haupteingang und Autoabstellplätze, Flächen zum Abstellen von Rollstühlen/Rollatoren rollstuhlgerechte Parkplätz, rollstuhlgerechte Parkplätze)</t>
  </si>
  <si>
    <t>Werden erhöhte Anforderungen an bauliche Strukturen umgesetzt? (z. B. Korridore und Wege min. 1.20 m, geringe Schwellenhöhen, hindernisfreier Zugang zu Haupteingang, Keller und Autoabstellplätze, rollstuhlgerechte Parkplätze)</t>
  </si>
  <si>
    <t>Werden erhöhte Anforderungen an bauliche Strukturen umgesetzt? (z. B. Korridore und Wege min. 1.40 m, schwellenfreie Türen, Zwischenpodeste bei Treppen und Rampen, Flächen zum Abstellen von Rollstühlen/Rollatoren, rollstuhlgerechte Parkplätze)</t>
  </si>
  <si>
    <t>Werden erhöhte Anforderungen an die Anpassbarkeit oder Nutzerfreundlichkeit umgesetzt? (z. B. Nachrüstbarkeit von Treppenlift und Handläufen, Massnahmen für Seh- und Hörbehinderte, gute Beleuchtung, nachrüstbare WC-Handgriffe, Sitzgelegenheiten im Eingangsbereich)</t>
  </si>
  <si>
    <t>Stehen im Gebäude hindernisfrei zugängliche Infrastruktur und Räumlichkeiten zur Verfügung, falls Personen infolge von Überhitzung einen Schwächeanfall erleiden (z. B. Trinkwasserspender, Lavabo, Liegeräume)</t>
  </si>
  <si>
    <t>Werden Räumlichkeiten oder Infrastruktur zur raschen Abkühlung bzw. zur Erholung in Hitzeperioden ausgewiesen? (z. B. öffentlich zugängliche Lavabo oder Liegeräume) («Ja» bei reinen Wohnbauten)</t>
  </si>
  <si>
    <t xml:space="preserve"> (z. B. Dachterrassen, Gärten, Gemeinschaftsräume, grosszügige Eingangsbereiche)</t>
  </si>
  <si>
    <t xml:space="preserve"> (z. B. Dachterrassen, gemeinsame Essbereiche, Pausenzonen, Foyer)</t>
  </si>
  <si>
    <t xml:space="preserve"> (z. B. Gärten, Mehrzweckräume, Foyer, grosszügige Eingangsbereiche und Korridore)</t>
  </si>
  <si>
    <t xml:space="preserve">Werden Räume zur Begegnung und zum Austausch für verschiedene Parteien von Nutzenden oder Externe im Gebäude angeboten? (z. B. offene Lernzonen, Aussenklassenzimmer, Bibliotheken, Mehrzweckräume) </t>
  </si>
  <si>
    <t xml:space="preserve">Besteht ein Gestaltungs- und Nutzungskonzept zu sogenannten Schwellenräumen, welche den Übergang zwischen öffentlichen und privaten Räumen kennzeichnen (z. B. Hauseingänge, Treppenräume, Korridore, Terrassen)? </t>
  </si>
  <si>
    <t>Wird eine angemessene Infrastruktur zur Verfügung gestellt (z. B. Gartenmöblierung), welche die Nutzung von beschatteten Aussenanlagen fördert?</t>
  </si>
  <si>
    <t>Sind die Wege zu den Nebenräumen im Gebäude (z. B. Keller, Waschküchen) und den Aussenspielbereichen für Kinder übersichtlich und sicher erreichbar?</t>
  </si>
  <si>
    <t>Sind klimawandelspezifische Massnahmen wie die Minimierung von Überhitzungsstunden in den Innenräumen (z. B. Automatisierung der Nachtauskühlung, Sensibilisierung der Nutzenden) Teil des Betriebskonzepts des Gebäudes?</t>
  </si>
  <si>
    <t>Wird durch den baulichen Eingriff der Unterhalt und Ersatz von Bauteilen nach individuellem Lebenszyklus wo möglich explizit vereinfacht (z. B. Fenster ohne Fassadendemontage, fixe Möblierung ohne Demontage der Trennwände)?</t>
  </si>
  <si>
    <t>Wie weit liegt die schulische Tagesstruktur entfernt (z. B. Tagesschule, Mittagstisch, Hort)?</t>
  </si>
  <si>
    <t>Wird die Grundstruktur der bestehenden Bausubstanz im Wesentlichen beibehalten? (z. B. unveränderte Tragstruktur)</t>
  </si>
  <si>
    <t xml:space="preserve">Werden wesentliche Teile der Gebäudetechnik und der entsprechenden Infrastruktur (z. B. Sanitäranlagen) beibehalten? </t>
  </si>
  <si>
    <t>Werden beim Bauvorhaben bewusst Materialien eingesetzt, welche einen geringen Erstellungsaufwand aufweisen (z. B. eine leichte statt schwere Fassadenbekleidung)?</t>
  </si>
  <si>
    <t>Wird auf Dämmstoffe mit ungünstigen ökologischen Eigenschaften verzichtet z. B. (bezüglich halogenhaltiger Treibgase und Flammschutzmitteln) bzw. wird der Verzicht im Pflichtenheft formuliert?</t>
  </si>
  <si>
    <t>Werden Barrieren für Kleintiere an der Parzellengrenze (z. B. Mauern, engmaschige Zäune bis zum Boden) und Tierfallen bewusst vermieden?</t>
  </si>
  <si>
    <t>Sind oberirdische Retentionsanlagen vorgesehen? (z. B. Dachbegrünung, Regenrückhaltebecken, Retentionsmulden)</t>
  </si>
  <si>
    <t>Wird Niederschlagwasser bewusst in unter- oder oberirdischen Behältern gesammelt (z. B. Zisternen, Regentonnen) und wieder genutzt (z. B. für WC-Spülung, Pflanzengiessen oder Kühlwasser)?</t>
  </si>
  <si>
    <t>Werden Massnahmen zur Erhöhung der Flächeneffizienz (z. B. durch Vergrösserung des pädagogisch nutzbaren Flächenangebots) umgesetzt?</t>
  </si>
  <si>
    <t>Besteht eine hohe Vielfalt im Nutzungsangebot? (z. B. breiter Wohnungsspiegel)</t>
  </si>
  <si>
    <t>Besteht eine hohe Vielfalt im Nutzungsangebot? (z. B. unterschiedliche Büros)</t>
  </si>
  <si>
    <t>Ist eine Änderung der Nutzung ohne einschneidenden Eingriff in das Tragsystem möglich? (z. B. Wohnen in Büros; Verwaltung in Wohnen, Gewerbe oder Schule; Bildungsbauten in andere Schultypen, Verwaltung oder Gewerbe)</t>
  </si>
  <si>
    <t>Ist eine wesentliche Änderung der Raumaufteilung ohne einschneidenden Eingriff in das Tragsystem möglich? (z. B. durch nicht tragende Innenwände, Platzreserven für eine Ergänzung der technischen Ausstattung, Schaltzimmer)</t>
  </si>
  <si>
    <t>Sind die Grundrisse so konzipiert, dass sie auch saisonale Nutzungsverschiebungen erlauben? (z. B. Aufenthalt in helle nordgerichtete Räume im Sommer sowie in warme südgerichtete Räume im Winter)</t>
  </si>
  <si>
    <t>Est-ce que l'utilisation de matériaux de construction qui libèrent des quantités importantes de formaldéhyde dans l'air ambiant (p. ex. matériaux en bois, systèmes d'enduits acoustiques, parquets multicouches) est évitée dans les espaces intérieurs chauffés ?</t>
  </si>
  <si>
    <t>Wird in beheizten Innenräumen auf die Verwendung von Baustoffen verzichtet, welche relevante Mengen an Lösemitteln in die Raumluft abgeben (z. B. bestimmte Beschichtungsstoffe, Klebstoffe oder Reinigungsmittel)?</t>
  </si>
  <si>
    <t>L'uso di materiali da costruzione che rilasciano quantità rilevanti di formaldeide nell'aria ambiente (ad e., materiali a base di legno, sistemi di intonaco acustico, parquet multistrato) è evitato negli spazi interni riscaldati?</t>
  </si>
  <si>
    <t>L'uso di materiali da costruzione che rilasciano quantità rilevanti di solventi nell'aria ambiente (ad e., alcuni materiali di rivestimento, adesivi o detergenti) è evitato negli spazi interni riscaldati?</t>
  </si>
  <si>
    <t>Est-ce que l'utilisation de matériaux de construction qui libèrent des quantités importantes de solvants dans l'air ambiant (p. ex. certains matériaux de revêtement, colles ou produits de nettoyage) est évitée dans les espaces intérieurs chauffés ?</t>
  </si>
  <si>
    <t>Werden Raumluftmessungen nach dem Bauvorhaben zur Einhaltung der entsprechenden Grenzwerte vorgesehen (Formaldehyd, TVOC)?</t>
  </si>
  <si>
    <t>Sono previste misurazioni dell'aria interna dopo il progetto di costruzione per garantire il rispetto dei valori limite pertinenti (formaldeide, COV)?</t>
  </si>
  <si>
    <t xml:space="preserve">Wird die Umgebungsgestaltung beim Bauvorhaben so konzipiert, dass sie (z. B. durch Grünflächen am und um das Gebäude, grosskronige Baumbestände, Verschattungen und Oberflächengestaltung) eine abkühlende Wirkung auf Gebäude und Aussenraum erzielt? </t>
  </si>
  <si>
    <t>Besteht die unbebaute Grundstücksfläche grösstenteils aus unversiegelten Grünflächen?</t>
  </si>
  <si>
    <t>L'appezzamento di terreno non edificato è costituito principalmente da aree verdi non impermeabilizzate?</t>
  </si>
  <si>
    <t>Wird alter, grosskroniger Baumbestand erhalten, oder grossflächige Verschattung auf dem Grundstück anderweitig gewährleistet?</t>
  </si>
  <si>
    <t>Verranno preservati gli alberi vecchi e di grandi dimensioni o si provvederà a fornire ampie zone d'ombra sulla proprietà con altri mezzi?</t>
  </si>
  <si>
    <t>Wird die Reflexion von Oberflächen im Aussenraum beschränkt (z. B. durch Begrünung, Fassadenbekleidung oder geringer Glasanteile)?</t>
  </si>
  <si>
    <t>Est-ce que la réflexion des surfaces à l'extérieur est limitée (par exemple par la végétation, le revêtement des façades ou une faible proportion de verre) ?</t>
  </si>
  <si>
    <t>La riflessione delle superfici nell'area esterna è limitata (ad esempio attraverso il verde, il rivestimento della facciata o una bassa percentuale di vetro)?</t>
  </si>
  <si>
    <t>Sind, basierend auf den bisherigen Erfahrungen, auch bei den zukünftig erwarteten höheren Temperaturen keine Probleme mit sommerlicher Überhitzung im Gebäude zu erwarten?</t>
  </si>
  <si>
    <t>Sulla base delle esperienze precedenti, non si prevedono problemi di surriscaldamento estivo dell'edificio, anche con le temperature più elevate previste in futuro?</t>
  </si>
  <si>
    <t>Sur la base de l'expérience acquise jusqu'à présent, ne faut-il pas s'attendre à des problèmes de surchauffe estivale dans le bâtiment, même avec les températures plus élevées attendues à l'avenir ?</t>
  </si>
  <si>
    <t>L'edificio dispone di un sistema di schermatura solare esterno mobile e ben funzionante?</t>
  </si>
  <si>
    <t>Besitzt das Gebäude genügend Wärmespeicherkapazität in Form von massiven Materialien bzw. Bauteilschichten angrenzend zum Innenraum, um die auftretenden Temperaturspitzen auszugleichen?</t>
  </si>
  <si>
    <t>Le bâtiment possède-t-il une capacité d'accumulation de chaleur suffisante sous forme de matériaux massifs ou de couches d'éléments de construction adjacents à l'intérieur pour compenser les pics de température qui se produisent ?</t>
  </si>
  <si>
    <t>L'edificio dispone di una sufficiente capacità di accumulo del calore sotto forma di materiali solidi o strati di componenti adiacenti all'interno per compensare i picchi di temperatura che si verificano?</t>
  </si>
  <si>
    <t>Wird beim Sonnenschutzkonzept explizit auch das künftige Klima infolge des Klimawandels mitberücksichtigt? (z. B. durch Simulationen mit Klimadaten der Zukunft)</t>
  </si>
  <si>
    <t>Le climat futur a-t-il également été pris en compte dans le concept de protection solaire ? (p. ex. par des simulations avec des données climatiques du futur)</t>
  </si>
  <si>
    <t>Il concetto di schermatura solare tiene esplicitamente conto del clima futuro come risultato del cambiamento climatico? (ad e., attraverso simulazioni con dati climatici futuri)</t>
  </si>
  <si>
    <t xml:space="preserve">È possibile dissipare i carichi di calore dagli spazi interni nelle giornate più calde (ad esempio attraverso il raffreddamento naturale notturno, il free cooling o il geocooling)? </t>
  </si>
  <si>
    <t>Kann eine effiziente Nachtauskühlung (z. B. durch natürliche Fensterlüftung) ohne negative Auswirkungen auf die Sicherheit (Einbruchschutz), die akustische Behaglichkeit (Lärmbelastung) und die Luftqualität gewährleistet werden?</t>
  </si>
  <si>
    <t>Il progetto dell'edificio consente un raffreddamento notturno illimitato (ad e., ventilazione naturale delle finestre o raffreddamento passivo) senza compromettere in modo significativo il comfort acustico?</t>
  </si>
  <si>
    <t>Ermöglicht das Bauvorhaben eine uneingeschränkte Nachtauskühlung (z. B. durch natürliche Fensterlüftung oder passive Kühlung) ohne bedeutende Beeinträchtigung der akustischen Behaglichkeit?</t>
  </si>
  <si>
    <t>Un important refroidissement du bâtiment de nuit (p. ex. ventilation naturelle par la fenêtre ou refroidissement passif) est-il possible en été sans impact négatif sur le confort acoustique ?</t>
  </si>
  <si>
    <t>Il progetto dell'edificio consente un raffreddamento notturno illimitato (ad e., ventilazione naturale delle finestre o raffreddamento passivo) pur garantendo un elevato livello di protezione contro le effrazioni?</t>
  </si>
  <si>
    <t>Ermöglicht das Bauvorhaben eine uneingeschränkte Nachtauskühlung (z. B. durch natürliche Fensterlüftung oder passive Kühlung) bei dennoch hohem Einbruchschutz?</t>
  </si>
  <si>
    <t>Un important refroidissement du bâtiment en été (p. ex. ventilation naturelle par la fenêtre ou refroidissement passif) est-il possible de nuit sans risque d'effraction ?</t>
  </si>
  <si>
    <t>Prévoit-on exclusivement des fenêtres à triple vitrage ?</t>
  </si>
  <si>
    <t>Sono previste solo finestre con triplo vetro?</t>
  </si>
  <si>
    <t>Sind keine raumhohen Verglasungen vorhanden oder werden bei raumhohen Verglasungen die Komfortanforderungen bezüglich Kaltluftabfall eingehalten?</t>
  </si>
  <si>
    <t>N'y a-t-il pas de vitrages à hauteur de plafond ou les exigences de confort relatives à la chute d'air froid sont-elles respectées en cas de vitrages à hauteur de plafond ?</t>
  </si>
  <si>
    <t>Est-ce que le sol contre les locaux non chauffés ou contre le sol est systématiquement et bien isolé ? (respect des valeurs U des différents éléments de construction de 10 % de mieux que les exigences de la loi cantonale sur l'énergie)</t>
  </si>
  <si>
    <t>Wird die Luftdichtheit der thermischen Gebäudehülle mittels Luftdichtheitskonzept nachgewiesen?</t>
  </si>
  <si>
    <t>L'ermeticità dell'involucro termico dell'edificio è verificata mediante un concetto di ermeticità?</t>
  </si>
  <si>
    <t>L'étanchéité à l'air de l'enveloppe thermique du bâtiment est-elle prouvée au moyen d'un concept d'étanchéité à l'air ?</t>
  </si>
  <si>
    <t>È stato implementato un concetto esplicito per l'ottimizzazione delle condizioni di luce diurna e verificato con strumenti espliciti?</t>
  </si>
  <si>
    <t xml:space="preserve">L'uso ottimizzato della luce diurna fa parte del brief di progetto? </t>
  </si>
  <si>
    <t>È previsto l'uso di uno strumento di verifica della luce diurna?</t>
  </si>
  <si>
    <t>Werden Massnahmen getroffen, die einen guten visuellen Komfort in Form von Tageslicht, Blendschutz und Ausblick auch bei aktiviertem Sonnenschutz gewährleisten? (z. B. Fenster auf verschiedene Himmelsrichtungen, Sonnenschutzverglasungen)</t>
  </si>
  <si>
    <t>Ist in den Aufenthaltsräumen ausreichend Tageslicht vorhanden, selbst wenn der Sonnenschutz aktiv ist?</t>
  </si>
  <si>
    <t>Ist die Aussicht nach draussen gewährleistet, wenn der Sonnenschutz aktiv ist?</t>
  </si>
  <si>
    <t>Wird ein Blendschutz bereitgestellt, der im Winter bei tiefem Sonnenstand sowohl solare Einträge als auch Tageslicht ermöglicht, ohne dass Personen in Innenräumen geblendet werden?</t>
  </si>
  <si>
    <t>Est-ce que la vue vers l'extérieur est garantie lorsque la protection solaire est active ?</t>
  </si>
  <si>
    <t>Une protection contre l'éblouissement est-elle mise à disposition pour permettre à la fois les apports solaires et la lumière du jour en hiver lorsque le soleil est bas, sans que les personnes se trouvant à l'intérieur soient éblouies ?</t>
  </si>
  <si>
    <t>La luce diurna nelle sale ricreative è sufficiente anche quando la schermatura solare è attiva?</t>
  </si>
  <si>
    <t>La vista all'esterno è garantita quando la schermatura solare è attiva?</t>
  </si>
  <si>
    <t>È prevista una protezione antiabbagliamento che consenta sia l'apporto solare che la luce diurna in inverno, quando il sole è basso, senza causare abbagliamento per le persone all'interno?</t>
  </si>
  <si>
    <t>Sono state adottate misure per garantire un buon comfort visivo sotto forma di luce diurna, protezione dall'abbagliamento e vista anche quando la protezione solare è attivata? (ad es., finestre rivolte in direzioni diverse, vetrate a controllo solare)</t>
  </si>
  <si>
    <t>Les exigences accrues en termes du protection contre le bruit extérieur et entre unités d’utilisation (selon la norme SIA 181 en vigueur) sont-elles appliquées et  une bonne protection contre le bruit est-elle garantie à l'intérieur des unités d'utilisation ?</t>
  </si>
  <si>
    <t>Werden im Projekt die erhöhten Schallschutzanforderungen gegen Aussenlärm und zwischen verschiedenen Nutzungseinheiten (gemäss der Norm SIA 181) umgesetzt und ein guter Schallschutz innerhalb der Nutzungseinheiten gewährt?</t>
  </si>
  <si>
    <t>Est-ce que la protection contre le bruit de l’enveloppe du bâtiment et entre unités d’utilisation ne pose pas de problème ou des mesures adéquates sont-elles prises (p. ex. fenêtres et portes insonorisantes) ?</t>
  </si>
  <si>
    <t>La protezione fonica dell'involucro dell'edificio e tra le unità di utilizzo non presenta problemi o sono state adottate misure adeguate (ad esempio, finestre e porte fonoisolanti)?</t>
  </si>
  <si>
    <t>Werden Wände und Türen zu einzelnen Büros und Sitzungszimmern besonders schalldämmend ausgeführt, um ein hohes Mass an Diskretion zu gewährleisten?</t>
  </si>
  <si>
    <t>Wird beim Ersatz von Türen zwischen Erschliessungszonen, Schulzimmern und Gruppenräumen auf eine gute Schalldämmung geachtet?</t>
  </si>
  <si>
    <t>Les murs et les portes des différents bureaux et salles de réunion sont-ils particulièrement insonorisés afin de garantir un haut niveau de discrétion ?</t>
  </si>
  <si>
    <t>Veille-t-on à une bonne isolation acoustique lors du remplacement des portes entre les zones de desserte, les salles de classe et les salles de groupe ?</t>
  </si>
  <si>
    <t>Le pareti e le porte dei singoli uffici e delle sale riunioni sono particolarmente insonorizzate per garantire un elevato grado di discrezione?</t>
  </si>
  <si>
    <t>Quando si sostituiscono le porte tra le zone di accesso, le aule e le sale per gruppi, si presta attenzione a un buon isolamento acustico?</t>
  </si>
  <si>
    <t>Sind die Geräusche der haustechnischen Anlagen bisher unproblematisch oder werden entsprechende Massnahmen getroffen (Rohre, Leitungen, Sanitärobjekte)?</t>
  </si>
  <si>
    <t>I rumori provenienti dagli impianti tecnici dell'edificio non presentano problemi o sono state adottate misure adeguate (tubature, linee, oggetti sanitari)?</t>
  </si>
  <si>
    <t>Les bruits des installations techniques du bâtiment ne posent-ils pas de problème jusqu'à présent ou des mesures adéquates sont-elles prises (tuyaux, conduites, appareils sanitaires) ?</t>
  </si>
  <si>
    <t>Werden Anforderungen an die Raumakustik frühzeitig thematisiert und formuliert? («Ja» falls die Hauptkategorie des Gebäudes Wohnen ist)</t>
  </si>
  <si>
    <t>Des mesures d'acoustique de salles ont-elles été thématisées et formulées lors des étapes initiales du projet ? (« Oui » si la catégorie principale du bâtiment est logements)</t>
  </si>
  <si>
    <t>Des mesures d'acoustique de salles ont-elles été thématisées et formulées lors des étapes initiales du projet ? (p. ex. en se basant sur les exigences actuellement en vigueur de la SUVA ou de l'OLT3)</t>
  </si>
  <si>
    <t>Des mesures d'acoustique de salles ont-elles été thématisées et formulées lors des étapes initiales du projet ? (p. ex. en référence à la norme SIA 181 ou à la norme DIN 18041:2016)</t>
  </si>
  <si>
    <t>Werden die erhöhten Anforderungen zum Schallschutz zwischen mehreren Nutzungseinheiten (Luft- und Trittschall) sowie an die Gebäudehülle gemäss der Norm SIA 181 eingehalten?</t>
  </si>
  <si>
    <t>Sono state rispettati i requisiti più severi per la protezione fonica tra diverse unità d'uso (rumore per via aerea e solida) e per l'involucro dell'edificio secondo la norma SIA 181?</t>
  </si>
  <si>
    <t xml:space="preserve">Wird bei der Gestaltung der Räume auf die schallabsorbierende Wirkung von Oberflächenmaterialien geachtet? </t>
  </si>
  <si>
    <t>Wird bei der Gestaltung der Räume auf die schallabsorbierende Wirkung von Oberflächenmaterialien geachtet? («Ja» falls die Hauptkategorie des Gebäudes Wohnen ist)</t>
  </si>
  <si>
    <t>Lors de la conception des locaux, une attention particulière est-elle accordée à l'effet d'absorption acoustique des matériaux de surface ?</t>
  </si>
  <si>
    <t>Lors de la conception des locaux, une attention particulière est-elle accordée à l'effet d'absorption acoustique des matériaux de surface ? (« Oui » si la catégorie principale du bâtiment est logements)</t>
  </si>
  <si>
    <t xml:space="preserve">Nella progettazione degli ambienti si presta attenzione all'effetto fonoassorbente dei materiali di superficie? </t>
  </si>
  <si>
    <t>Nella progettazione degli ambienti si presta attenzione all'effetto fonoassorbente dei materiali di superficie? (“Sì” se la categoria principale dell'edificio è abitazione)</t>
  </si>
  <si>
    <t>Cycle de vie</t>
  </si>
  <si>
    <t>Ciclo di vita</t>
  </si>
  <si>
    <t>Lebenszyklus</t>
  </si>
  <si>
    <t>Économie</t>
  </si>
  <si>
    <t>Economia</t>
  </si>
  <si>
    <t>Potentiel d’utilisation du bâtiment &amp; de son emplacement</t>
  </si>
  <si>
    <t>Nutzbarkeit</t>
  </si>
  <si>
    <t>Fruibilità</t>
  </si>
  <si>
    <t>Économie régionale</t>
  </si>
  <si>
    <t>Economia regionale</t>
  </si>
  <si>
    <t>Ambiente</t>
  </si>
  <si>
    <t>Klimaschutz und Energie</t>
  </si>
  <si>
    <t>Protection du climat et énergie</t>
  </si>
  <si>
    <t>Protezione del clima ed energia</t>
  </si>
  <si>
    <t>Ressourcenschonung und Umweltschutz</t>
  </si>
  <si>
    <t>Préservation des ressources et protection de l’environnement</t>
  </si>
  <si>
    <t>Salvaguardia delle risorse e dell’ambiente</t>
  </si>
  <si>
    <t>Natura e paesaggio</t>
  </si>
  <si>
    <t xml:space="preserve">Grazie per aver risposto alle domande. Una panoramica dei risultati è disponibile nella scheda corrispondente. </t>
  </si>
  <si>
    <t>Oltre ai costi iniziali, vengono analizzati anche i costi a lungo termine ai fini decisionali?</t>
  </si>
  <si>
    <t>Le riflessioni sulla futura pulizia e manutenzione dell'edificio sono incluse nel calcolo dei costi?</t>
  </si>
  <si>
    <t xml:space="preserve">Werden in den Lebenszykluskosten finanzielle Aufwände für den Fassadenunterhalt (intensivere Niederschläge und Winde) untersucht und mitberücksichtigt? </t>
  </si>
  <si>
    <t>Gli effetti previsti del cambiamento climatico, in particolare per il carico di raffreddamento e la manutenzione dovuta ai danni causati dalle intemperie, sono presi in considerazione nei costi del ciclo di vita e nel concetto operativo?</t>
  </si>
  <si>
    <t>Le spese finanziarie legate al comfort termico, in particolare per il (futuro) raffreddamento, sono analizzate e considerate nei costi del ciclo di vita?</t>
  </si>
  <si>
    <t xml:space="preserve">Le spese finanziarie per la manutenzione delle facciate (precipitazioni e venti più intensi) sono analizzate e considerate nei costi del ciclo di vita? </t>
  </si>
  <si>
    <t>Le misure specifiche per il cambiamento climatico, come la minimizzazione delle ore di surriscaldamento negli spazi interni (ad esempio, l'automazione del raffreddamento notturno, la sensibilizzazione degli utenti) fanno parte del concetto operativo dell'edificio?</t>
  </si>
  <si>
    <t>Wird das Prinzip der bewirtschaftungsgerechten Planung und Realisierung (gemäss Empfehlung SIA 113) in allen Planungsphasen verfolgt, indem pbFM-Leistungen (planungs- und baubegleitenden Facility Management) phasengerecht umgesetzt werden?</t>
  </si>
  <si>
    <t>Werden in der Projektierungsphase betriebliche Aspekte bei der Überprüfung von Variantenvergleichen berücksichtigt? (z. B. Energieversorgung, Fassadengestaltung, Beleuchtung etc.)</t>
  </si>
  <si>
    <t>Werden in einem Betriebskonzept die bewirtschaftungsrelevanten Aufgaben und Zuständigkeiten klar definiert?</t>
  </si>
  <si>
    <t xml:space="preserve">Wird bei Projektabschluss ein Handbuch mit Angaben zum Betrieb des Gebäudes (u.a. Reinigung, Entsorgung, Logistik) inkl. Wartungs- und Inspektionspläne erstellt? </t>
  </si>
  <si>
    <t>Werden bewirtschaftungsrelevante Anforderungen bereits in der Phase der Vorstudien evaluiert und in einem Nutzungskonzept berücksichtigt? (z. B. Raumbedarf für FM, Wartungs- und Reinigungsfreundlichkeit)</t>
  </si>
  <si>
    <t>Les aspects liés à l'exploitation sont-ils pris en compte dans la phase d'étude du projet lors de l'examen de la comparaison des variantes ? (p. ex. approvisionnement en énergie, conception de la façade, éclairage, etc.)</t>
  </si>
  <si>
    <t>Les tâches et les responsabilités en matière de gestion sont-elles clairement définies dans un concept d'exploitation ?</t>
  </si>
  <si>
    <t>I requisiti di gestione vengono valutati già nella fase di studio preliminare e presi in considerazione in un concetto di utilizzo? (ad esempio, requisiti di spazio per la FM, facilità di manutenzione e pulizia).</t>
  </si>
  <si>
    <t>Gli aspetti operativi sono presi in considerazione nella fase di pianificazione del progetto quando si confrontano le varianti? (ad es. fornitura di energia, design delle facciate, illuminazione, ecc.)</t>
  </si>
  <si>
    <t>I compiti e le responsabilità di gestione sono chiaramente definiti in un concetto operativo?</t>
  </si>
  <si>
    <t xml:space="preserve">Alla fine del progetto viene redatto un manuale con informazioni sul funzionamento dell'edificio (ad es. pulizia, smaltimento, logistica), compresi i piani di manutenzione e ispezione? </t>
  </si>
  <si>
    <t>Il principio della pianificazione e della realizzazione orientata alla gestione (secondo la raccomandazione SIA 113) viene perseguito in tutte le fasi di pianificazione attraverso l'implementazione dei servizi di prFM (progettazione e realizzazione in concomitanza con il facility management) in modo adeguato alle fasi?</t>
  </si>
  <si>
    <t>Ist das Gebäude konsequent nach den Prinzipien der Systemtrennung und des zirkulären Bauens konzipiert, um den Austausch von Bauteilen entsprechend ihrem individuellen Lebenszyklus zu ermöglichen?</t>
  </si>
  <si>
    <t>Le bâtiment est-il conçu de manière cohérente selon les principes de la séparation des systèmes et de la construction circulaire, afin de permettre le remplacement des éléments de construction en fonction de leur cycle de vie individuel ?</t>
  </si>
  <si>
    <t>Les utilisateurs sont-ils activement aidés à réduire les émissions de gaz à effet de serre dues à la mobilité, par exemple en mettant à disposition des plateformes d'échange pour encourager le covoiturage ?</t>
  </si>
  <si>
    <t>Les utilisateurs sont-ils rendus attentifs à l'effet de soutien de l'automatisation existante et sensibilisés à l'aide d'instructions appropriées ?</t>
  </si>
  <si>
    <t>Les utilisateurs sont-ils encouragés et soutenus de manière ciblée à contribuer à la protection du climat par leur comportement dans le bâtiment (consommation d'énergie), leur mobilité et l'utilisation commune des ressources ?</t>
  </si>
  <si>
    <t>La surface non bâtie du terrain est-elle constituée en majeure partie d'espaces verts non imperméabilisés ?</t>
  </si>
  <si>
    <t>Wird durch den baulichen Eingriff die Zugänglichkeit zu horizontalen und vertikalen Haustechnik-Installationen explizit verbessert, so dass es ohne bedeutenden baulichen Aufwand möglich ist?</t>
  </si>
  <si>
    <t>Les transformations constructives facilitent-elles l'accès aux installations techniques horizontales et verticales pour les rendre accessibles sans difficulté ?</t>
  </si>
  <si>
    <t>Le dimensionnement des accès aux centrales techniques permet-il un remplacement aisé des appareils de technique du bâtiment ?</t>
  </si>
  <si>
    <t>Werden Massnahmen im Sinne des kreislauffähigen Bauens ergriffen (Wiederverwendung von Bauteilen und Dokumentation der Materialien)?</t>
  </si>
  <si>
    <t>Vengono adottate misure nel senso della costruzione riciclabile (riutilizzo dei componenti e documentazione dei materiali)?</t>
  </si>
  <si>
    <t>L'edificio è progettato coerentemente con i principi della separazione dei sistemi e della costruzione circolare, al fine di consentire la sostituzione dei componenti in base al loro ciclo di vita individuale?</t>
  </si>
  <si>
    <t>L'intervento strutturale semplifica esplicitamente la manutenzione e la sostituzione dei componenti dopo il ciclo di vita individuale, ove possibile (ad esempio, finestre senza smontare la facciata, arredi fissi senza smontare le pareti divisorie)?</t>
  </si>
  <si>
    <t>Stimmt folgende Aussage? ''Am Standort bestehen gemäss themenspezifischer Standortanalyse keine Hinweise auf Gefährdung durch Hochwasser und Oberflächenabfluss oder es werden entsprechende Gegenmassnahmen getroffen''</t>
  </si>
  <si>
    <t>Stimmt folgende Aussage? ''Am Standort bestehen gemäss Standortanalyse keine Hinweise auf Gefährdung durch Lawinen, Murgang, Erdrutsch und Steinschlag oder es werden entsprechende Gegenmassnahmen getroffen''</t>
  </si>
  <si>
    <t>Stimmt folgende Aussage? ''Eine Standortanalyse hinsichtlich der meteorologischen Naturgefahren (Hagel, Sturm, Wind, Regen und Schnee) wurde durchgeführt und es werden nötigenfalls am Gebäude entsprechende, verhältnismässige Gegenmassnahmen zur Reduktion des Risikos getroffen''</t>
  </si>
  <si>
    <t>Stimmt folgende Aussage? ''Eine Gebäudeanalyse hinsichtlich der Erdbebengefährdung wurde durchgeführt und es werden entsprechende Gegenmassnahmen zur Reduktion des Risikos getroffen''</t>
  </si>
  <si>
    <t>L'affirmation suivante est-elle vraie ? ''Une analyse du bâtiment a été conduite pour relever les éventuels risques sismiques et des mesures adaptées ont été prises pour faire face à ces risques le cas échéant''</t>
  </si>
  <si>
    <t>L'affirmation suivante est-elle vraie ? ''Une analyse de site a été conduite pour relever éventuels les dangers météorologiques (grêle, tempête, vent, pluie et neige) et des mesures adaptées ont été prises pour faire faces aux risques le cas échéant''</t>
  </si>
  <si>
    <t>L'affirmation suivante est-elle vraie ? ''Une analyse de site a été conduite pour relever les éventuels dangers d'avalanches, de glissements de terrain ou de chutes de pierres et des mesures adaptées ont été prises pour faire face aux risques le cas échéant''</t>
  </si>
  <si>
    <t>L'affirmation suivante est-elle vraie ? ''Une analyse de site a été conduite pour relever les éventuels dangers d'inondations et des mesures adaptées ont été prises pour faire face à ces risques le cas échéant''</t>
  </si>
  <si>
    <t xml:space="preserve">Il sito è stato analizzato in relazione ai rischi sismici o naturali utilizzando strumenti online specifici e sono state introdotte misure adeguate per proteggere l'edificio e i suoi utenti al fine di soddisfare gli obiettivi di protezione in conformità con la norma SIA 261? </t>
  </si>
  <si>
    <t xml:space="preserve">Le site est-il analysé en ce qui concerne les risques de tremblements de terre ou d'événements naturels à l'aide d'outils en ligne spécifiques à ce thème et des mesures appropriées sont-elles prises pour protéger le bâtiment et les utilisateurs afin de remplir les objectifs de protection selon la norme SIA 261 ? </t>
  </si>
  <si>
    <t>La seguente affermazione è corretta? ''In base all'analisi del sito specifica per l'argomento, non vi sono indicazioni di pericoli derivanti da inondazioni e deflusso superficiale nel sito o sono state adottate contromisure adeguate''</t>
  </si>
  <si>
    <t>La seguente affermazione è corretta? ''In base all'analisi del sito, non vi sono indicazioni di pericoli derivanti da valanghe, colate detritiche, frane e caduta massi nel sito, o sono state prese le opportune contromisure''</t>
  </si>
  <si>
    <t>La seguente affermazione è corretta? ''È stata effettuata un'analisi del sito per quanto riguarda i rischi naturali meteorologici (grandine, tempesta, vento, pioggia e neve) e, se necessario, sono state adottate contromisure adeguate e proporzionate sull'edificio per ridurre il rischio''</t>
  </si>
  <si>
    <t>La seguente affermazione è corretta? ''È stata effettuata un'analisi dell'edificio in relazione alla pericolosità sismica e si stanno adottando le opportune contromisure per ridurre il rischio''</t>
  </si>
  <si>
    <t>L'affirmation suivante est-elle vraie ? ''La parcelle n'est pas concernée par l'effet d'îlot de chaleur urbain ou elle contribue au refroidissement du quartier''</t>
  </si>
  <si>
    <t>Werden im Rahmen der Standortanalyse auch Gefahren durch Naturereignisse analysiert, deren Auftreten in zukünftigen Klimaszenarien wahrscheinlicher werden? (z. B. Waldbrand, Tornado, Extremwetterereignisse, Hitzewelle)</t>
  </si>
  <si>
    <t>L'analisi del sito analizza anche i pericoli derivanti da eventi naturali che hanno maggiori probabilità di verificarsi negli scenari climatici futuri? (ad esempio, incendi boschivi, trombe d'aria, eventi meteorologici estremi, ondate di calore).</t>
  </si>
  <si>
    <t>Stimmt folgende Aussage? ''Am Standort bestehen gemäss themenspezifischer Standortanalyse (Topografie, klimatische Bedingungen, meteorologische Muster) keine Hinweise auf Gefährdung durch Waldbrand oder es werden entsprechende Gegenmassnahmen getroffen''</t>
  </si>
  <si>
    <t>Stimmt folgende Aussage: ''Am Standort bestehen gemäss themenspezifischer Standortanalyse (Topografie, Vegetation, klimatische Bedingungen) keine Hinweise auf Gefährdung durch Extremwetterereignisse wie Tornados oder es werden entsprechende Gegenmassnahmen getroffen''</t>
  </si>
  <si>
    <t>La seguente affermazione è corretta? ''Il lotto dell'edificio non è interessato dall'effetto isola di calore urbana o il progetto di costruzione contribuisce al raffreddamento del quartiere''</t>
  </si>
  <si>
    <t>La seguente affermazione è corretta? ''In base all'analisi specifica del sito (topografia, condizioni climatiche, modelli meteorologici), non ci sono indicazioni di un rischio di incendi boschivi nel sito o si stanno prendendo le opportune contromisure''</t>
  </si>
  <si>
    <t>La seguente affermazione è corretta? ''In base all'analisi del sito specifica per l'argomento (topografia, vegetazione, condizioni climatiche), non ci sono indicazioni di pericolo di eventi meteorologici estremi come i tornado nel sito o si stanno prendendo le opportune contromisure''</t>
  </si>
  <si>
    <t>L'affirmation suivante est-elle vraie : ''Selon l'analyse thématique du site (topographie, conditions climatiques, modèles météorologiques), il n'existe sur le site aucun indice de risque d'incendie de forêt ou des contre-mesures appropriées sont prises''</t>
  </si>
  <si>
    <t>L'affirmation suivante est-elle vraie : ''Selon l'analyse thématique du site (topographie, végétation, conditions climatiques), il n'y a pas d'indice de risque d'événements météorologiques extrêmes tels que des tornades sur le site ou des contre-mesures sont prises en conséquence''</t>
  </si>
  <si>
    <t>Werden kantonale Richtlinien/Empfehlungen zu den minimalen Raumflächen befolgt und werden nicht pädagogisch nutzbare Verkehrsfläche minimiert?</t>
  </si>
  <si>
    <t>Les surfaces des pièces respectent-elles les valeurs minimales selon les directives/recommandations cantonales et les surfaces de circulation sans utilité pédagogique sont-elles minimisées ?</t>
  </si>
  <si>
    <t>Sono state attuate misure per aumentare l'efficienza dello spazio (ad esempio, aumentando la quantità di spazio disponibile per uso didattico)?</t>
  </si>
  <si>
    <t>Vengono rispettate le linee guida/raccomandazioni cantonali sulla superficie minima dei locali e viene ridotto al minimo lo spazio di circolazione non utilizzabile a fini didattici?</t>
  </si>
  <si>
    <t>Sono stati definiti obiettivi per ridurre le aree accessorie (magazzini, aree di accesso, ecc.) nello spazio riscaldato?</t>
  </si>
  <si>
    <t>L'efficienza spaziale del progetto viene esaminata consapevolmente durante il processo di pianificazione?</t>
  </si>
  <si>
    <t>Wurde eine maximale Wohnfläche der Wohnungen bestimmt?</t>
  </si>
  <si>
    <t>Une surface habitable maximale a-t-elle été convenue ?</t>
  </si>
  <si>
    <t>È stata specificata una superficie abitabile massima per gli appartamenti?</t>
  </si>
  <si>
    <t>Ist das Bauvorhaben so konzipiert, dass es den zunehmend wechselnden Bedingungen im Klimawandel angemessen anpassen lässt? (saisonal flexible Nutzung von Räumlichkeiten, flexible technische Infrastruktur und konzeptioneller Schutz vor Witterungseinflüssen im Aussenraum)</t>
  </si>
  <si>
    <t>Le projet est-il conçu pour pouvoir être adapté de manière progressive et appropriée au changement climatique ? (pièce à utilisation flexible saisonnière, infrastructure technique flexible et protection conceptuelle contre les intempéries à l'extérieur)</t>
  </si>
  <si>
    <t>Ist die technische Infrastruktur des Gebäudes flexibel genug gestaltet, um sich an Nutzungsverschiebungen im Kontext des Klimawandels anzupassen?</t>
  </si>
  <si>
    <t>L'infrastructure technique du bâtiment est-elle conçue de manière suffisamment flexible pour s'adapter aux changements d'utilisation dans le contexte du changement climatique ?</t>
  </si>
  <si>
    <t>Il progetto edilizio è concepito in modo tale da poter essere adattato in modo adeguato alle condizioni sempre più mutevoli del cambiamento climatico? (utilizzo stagionale flessibile degli ambienti, infrastruttura tecnica flessibile e protezione concettuale contro gli effetti del tempo esterno).</t>
  </si>
  <si>
    <t>Le planimetrie sono progettate in modo da consentire anche i cambiamenti stagionali di utilizzo? (ad esempio, soggiorno in stanze luminose rivolte a nord in estate e in stanze calde rivolte a sud in inverno)</t>
  </si>
  <si>
    <t>L'infrastruttura tecnica dell'edificio è sufficientemente flessibile per adattarsi ai cambiamenti d'uso nel contesto del cambiamento climatico?</t>
  </si>
  <si>
    <t>Il progetto dell'edificio prevede sufficienti spazi esterni privati che consentano alle persone di trascorrere del tempo all'aperto sia durante i temporali (protezione dalle forti precipitazioni) sia durante i periodi caldi (protezione solare efficiente)?</t>
  </si>
  <si>
    <t>Besteht eine hohe Vielfalt im Nutzungsangebot? (z. B. unterschiedliche Unterrichts-, Seminar- und Arbeitsräume)</t>
  </si>
  <si>
    <t>Ist eine wesentliche Änderung der Raumaufteilung ohne einschneidenden Eingriff in das Tragsystem möglich? (z. B. durch nicht tragende Innenwände, Platzreserven für eine Ergänzung oder Nachrüstung der technischen Ausstattung, HLKS-Steigzonen für kleinere, voneinander unabhängig erschlossene Einheiten)</t>
  </si>
  <si>
    <t>Est-il possible de changer radicalement l'arrangement des espaces sans transformation significative de la structure ? (P. ex. en limitant les murs porteurs intérieurs, en réservant des places pour un complément ou une mise à niveau des aménagements techniques ou en prévoyant des colonnes montantes indépendantes pour des unités plus petites, desservies indépendamment les unes des autres)</t>
  </si>
  <si>
    <t>È possibile modificare in modo significativo la disposizione dei locali senza interferire con il sistema portante? (ad esempio, pareti interne non portanti, riserve di spazio per un'aggiunta all'attrezzatura tecnica, sala di controllo).</t>
  </si>
  <si>
    <t>È possibile apportare modifiche significative alla disposizione dei locali senza interferire con il sistema portante? (ad es., pareti interne non portanti, riserve di spazio per l'aggiunta o l'ammodernamento di apparecchiature tecniche, zone di risalita HVAC per unità più piccole ad accesso indipendente)</t>
  </si>
  <si>
    <t>Esiste un concetto strutturalmente e tecnicamente fattibile che consenta un elevato grado di flessibilità e variabilità nell'utilizzo e nell'espansione dell'edificio?</t>
  </si>
  <si>
    <t>È possibile un cambio di destinazione d'uso senza interventi drastici sul sistema portante? (ad esempio da residenziale a uffici; da amministrativo a residenziale, commerciale o scolastico; da edifici scolastici ad altri tipi di scuola, amministrativi o commerciali)</t>
  </si>
  <si>
    <t>Si des entreprises locales ont été considérées en priorité pour l'attribution des travaux de planification et d'exécution, quelle part (%) du volume d'investissement (CFC 2) leur sera vraisemblablement octroyée ?</t>
  </si>
  <si>
    <t>Nell'assegnazione dei lavori di progettazione ed esecuzione, si terrà conto deliberatamente delle imprese con sede a livello regionale o quanto si prevede che la quota corrispondente del volume di investimenti (CCC 2) sia elevata?</t>
  </si>
  <si>
    <t>Werden wesentliche Teile der Gebäudehülle beibehalten?</t>
  </si>
  <si>
    <t>Saranno mantenute le parti essenziali dell'involucro dell'edificio?</t>
  </si>
  <si>
    <t>Est-il prévu de conserver des parties importantes de l'enveloppe du bâtiment ?</t>
  </si>
  <si>
    <t>Sarà mantenuta essenzialmente la struttura di base dell'edificio esistente? (ad esempio, struttura portante invariata)</t>
  </si>
  <si>
    <t xml:space="preserve">Beträgt die Fensterfläche weniger als 50 % der gesamten Fassadenfläche des Gebäudes und werden die Fenster ersetzt? </t>
  </si>
  <si>
    <t xml:space="preserve">La superficie delle finestre è inferiore al 50% della superficie totale della facciata dell'edificio e le finestre vengono sostituite? </t>
  </si>
  <si>
    <t xml:space="preserve">La surface des fenêtres représente-t-elle moins de 50 % de la surface totale de la façade du bâtiment et les fenêtres sont-elles remplacées ? </t>
  </si>
  <si>
    <t>Werden im Rahmen des Bauprojektes keine Bauten zurückgebaut, die weniger als 60 Jahre alt sind?</t>
  </si>
  <si>
    <t>Nell'ambito del progetto di costruzione non saranno demoliti edifici con meno di 60 anni?</t>
  </si>
  <si>
    <t>Ist die Dämmung besser als die gesetzlichen Vorgaben (z. B. Minergie Standard)?</t>
  </si>
  <si>
    <t>L'isolation est-elle meilleure que les exigences légales (par ex. standard Minergie) ?</t>
  </si>
  <si>
    <t>L'isolamento è migliore rispetto ai requisiti di legge (ad es. standard Minergie)?</t>
  </si>
  <si>
    <t>L'isolamento dell'involucro dell'edificio soddisfa i requisiti di legge per le nuove costruzioni?</t>
  </si>
  <si>
    <t>Per la maggior parte dell'edificio è previsto l'uso di elettrodomestici e illuminazione ad alta efficienza energetica o a risparmio energetico?</t>
  </si>
  <si>
    <t xml:space="preserve">Ist die belegbare Dachfläche vollständig mit PV-Modulen belegt? </t>
  </si>
  <si>
    <t>Stammt der zum Gebäude gelieferte Strom nachweislich aus erneuerbaren Quellen?</t>
  </si>
  <si>
    <t>L'elettricità fornita all'edificio proviene in modo dimostrabile da fonti rinnovabili?</t>
  </si>
  <si>
    <t>Si evita di utilizzare combustibili fossili per coprire il fabbisogno di riscaldamento, anche per coprire i picchi di carico o come parte della generazione di teleriscaldamento?</t>
  </si>
  <si>
    <t xml:space="preserve">L'area utilizzabile del tetto è interamente coperta da moduli fotovoltaici? </t>
  </si>
  <si>
    <t xml:space="preserve">La surface du toit pouvant être occupée est-elle entièrement recouverte de modules photovoltaïques ? </t>
  </si>
  <si>
    <t>Peut-on prouver que l'électricité fournie au bâtiment provient de sources renouvelables ?</t>
  </si>
  <si>
    <t>K301 K302</t>
  </si>
  <si>
    <t>Liegen bei einer Berechnung der Betriebsenergie mit verfügbaren SIA-Klimadaten der Zukunft die nicht erneuerbare Energie bzw. die Treibhausgas für den Betrieb des Bauvorhabens über dessen gesamte Lebensdauer unterhalb des Richtwerts ''Betrieb'' nach MB SIA 2040?</t>
  </si>
  <si>
    <t>Wird eine Berechnung der Betriebsenergie respektive der emittierten Treibhausgase für den Betrieb, insbesondere für den Kühlbedarf, auch mit verfügbaren SIA-Klimadaten der Zukunft durchgeführt?</t>
  </si>
  <si>
    <t>Il calcolo dell'energia e dei gas serra emessi per l'esercizio, in particolare per il fabbisogno di raffreddamento, viene effettuato anche con i dati climatici SIA disponibili per il futuro?</t>
  </si>
  <si>
    <t>Liegen die nicht erneuerbare Energie bzw. die Treibhausgase für den Betrieb des Bauvorhabens unter Anwendung der verfügbaren SIA-Klimadaten der Zukunft für die Periode ''2035'', Szenario RCP 8.5, unterhalb des Richtwerts «Betrieb» nach MB SIA 2040?</t>
  </si>
  <si>
    <t>Ist beim Bauvorhaben eine Nachrüstbarkeit mit einer energetisch effizienten Kühlung bzw. Belüftung zur Einhaltung der Richtwerte ''Betrieb'' nach MB SIA 2040 unter Anwendung der SIA-Klimadaten der Zukunft für die Periode ''2060'', Szenario RCP 8.5, gegeben?</t>
  </si>
  <si>
    <t>Les valeurs calculées pour l'énergie non-renouvelable et les émissions de gaz à effet de serre liées à l'exploitation du bâtiment respectent-elles les valeurs de références selon le cahier technique SIA 2024 (avec le scénario RCP 8.5 des données climatiques SIA pour la période ''2035'') ?</t>
  </si>
  <si>
    <t>Les besoins en énergie et les émissions de gaz à effet de serre pour l'exploitation, en particulier pour les besoins de refroidissement, ont-ils été également calculés avec des données climatiques SIA du futur ?</t>
  </si>
  <si>
    <t>Il progetto edilizio può essere riadattato con un sistema di raffreddamento o di ventilazione ad alta efficienza energetica per soddisfare i valori guida “Esercizio” secondo MB SIA 2040 utilizzando i dati climatici SIA per il futuro per il periodo “2060”, scenario RCP 8.5?</t>
  </si>
  <si>
    <t>Wird eine Berechnung des Mobilitätsaufwands gemäss Rechenhilfe SIA 2039 vorgenommen und liegen die emittierten Treibhausgase für die gebäudeinduzierte "Mobilität" beim Bauvorhaben unterhalb des entsprechenden Richtwertes des SIA-Effizienzpfad Energie (MB SIA 2040)?</t>
  </si>
  <si>
    <t>La spesa per la mobilità è stata calcolata in base all' ausilio di calcolo SIA 2039 e i gas serra emessi per la "mobilità" indotta dall'edificio nel progetto di costruzione sono inferiori al corrispondente valore di riferimento della via SIA verso l'efficienza energetica (SIA 2040)?</t>
  </si>
  <si>
    <t>Werden explizite Massnahmen zur Minderung des Mobilitätsaufwands eingeleitet? (z. B. Förderung von ÖV-Dauerabos für Mitarbeitende)</t>
  </si>
  <si>
    <t>Des mesures seront-elles introduites dans le but de réduire l'utilisation de véhicules privés ? (P. ex. promotion des abonnements permanents de transports publics pour les employés)</t>
  </si>
  <si>
    <t>Vengono introdotte misure esplicite per ridurre la spesa per la mobilità? (ad es., promozione di abbonamenti al trasporto pubblico per i dipendenti)</t>
  </si>
  <si>
    <t>Werden Massnahmen zur Minimierung der Umweltbelastung durch die Baustelle und der Bauprozesse eingeleitet? (z. B. gemäss SIA 431, BAFU-Richtlinien, eco-BKP)</t>
  </si>
  <si>
    <t>Sono state introdotte misure per ridurre al minimo l'impatto ambientale del cantiere e dei processi di costruzione? (ad es. in conformità alla norma SIA 431, alle linee guida dell'UFAM, all'eco-BKP)</t>
  </si>
  <si>
    <t>Wird ein Konzept zur Wiederverwendung, zum Recycling oder zur Entsorgung der vorhandenen oder einzusetzenden Baumaterialien und Abfälle erstellt?</t>
  </si>
  <si>
    <t>È stato elaborato un progetto per il riutilizzo, il riciclaggio o lo smaltimento dei materiali da costruzione disponibili o da utilizzare e dei rifiuti?</t>
  </si>
  <si>
    <t>Wird eine Schadstoffuntersuchung des Gebäudebestands (Asbest, PCB, PCP) durchgeführt und werden schadstoffhaltige Materialien fachgerecht entsorgt? (''Ja'' falls keine Bauwerke um- oder zurückgebaut werden oder diese 1990 und später erstellt wurden)</t>
  </si>
  <si>
    <t>È stata effettuata un'analisi degli inquinanti del patrimonio edilizio (amianto, PCB, PCP) e i materiali contenenti inquinanti sono stati smaltiti correttamente? ("Sì" se non ci sono edifici in fase di conversione o demolizione o se sono stati costruiti nel 1990 e successivamente)</t>
  </si>
  <si>
    <t>Wird ein Konzept zum Schutz von Grundwasser, Gewässer und Böden während des Baus erstellt oder ist dies aufgrund des kleinen Eingriffs am Bestand nicht notwendig?</t>
  </si>
  <si>
    <t>Durante i lavori di costruzione verrà elaborato un progetto per la protezione delle acque sotterranee, dell'acqua e del suolo o non è necessario a causa dell'impatto minimo sull'edificio esistente?</t>
  </si>
  <si>
    <t>Le linee guida dell'UFAM sulla protezione dell’aria sui cantieri edili vengono rispettate nel cantiere?</t>
  </si>
  <si>
    <t>Le chantier respecte-t-il les recommandations de l'OFEV en matière de protection de l'air sur les chantiers ?</t>
  </si>
  <si>
    <t>Existe-t-il un concept pour protéger des eaux souterraines, des eaux et des sols durant le chantier ou n'est-il pas nécessaire en raison de la faible intervention sur l'existant ?</t>
  </si>
  <si>
    <t>Wird grosses Augenmerk auf die Verwendung von ressourcen- und umweltschonenden Materialien gelegt? (z. B. Auswahl gemäss eco-BKP-Empfehlungen, Ausschreibung nach eco-Devis)</t>
  </si>
  <si>
    <t>Si presta grande attenzione all'uso di materiali rispettosi delle risorse e dell'ambiente? (ad es., selezione secondo le raccomandazioni di eco-BKP, gare d'appalto secondo eco-Devis)</t>
  </si>
  <si>
    <t>Wird auf die Verwendung von Montage- oder Füllschäumen verzichtet?</t>
  </si>
  <si>
    <t>Est-il prévu d'éviter l'utilisation de mousses de montage ou de remplissage ?</t>
  </si>
  <si>
    <t>Si evita l'uso di legname/prodotti in legno non europei senza marchio FSC, PEFC o equivalente?</t>
  </si>
  <si>
    <t>Si utilizzano calcestruzzo RC, materiale RC o sabbia di ghiaia RC, ove possibile?</t>
  </si>
  <si>
    <t>Wird die systematische Inbetriebnahme der Gebäudetechniksysteme, inklusive Einregulierung und Nachjustierung, im Terminplan von Anfang an vorgesehen?</t>
  </si>
  <si>
    <t>La mise en service systématique des installations du bâtiment, y compris le réglage et le réajustement, est-elle prévue dès le début dans le calendrier ?</t>
  </si>
  <si>
    <t>Existe-t-il un concept assurant un monitoring durable de l'utilisation d'énergie avec installation d'appareils de mesure, évaluation des données et représentation des résultats ?</t>
  </si>
  <si>
    <t>Sono previsti o garantiti la lettura, l'archiviazione e l'elaborazione a lungo termine dei risultati delle misurazioni?</t>
  </si>
  <si>
    <t>Le responsabilità per la valutazione a lungo termine e la presentazione dei risultati di misura sono regolamentate?</t>
  </si>
  <si>
    <t>Besteht ein Konzept, welches ein Monitoring der thermischen Behaglichkeit ermöglicht, und werden dementsprechende Messeinrichtungen installiert?</t>
  </si>
  <si>
    <t>Existe-t-il un concept de monitoring énergétique et par conséquent est-ce que des appareils de mesure vont être installés ?</t>
  </si>
  <si>
    <t>Ist eine langfristige Ablesung der Messergebnisse geplant bzw. gewährleistet?</t>
  </si>
  <si>
    <t>Un relevé à long terme des résultats de mesure sont-ils prévus ou bien garantis ?</t>
  </si>
  <si>
    <t>È prevista o garantita una lettura a lungo termine dei risultati delle misurazioni?</t>
  </si>
  <si>
    <t>Le responsabilità per la valutazione a lungo termine e la presentazione dei risultati delle misurazioni sono regolamentate?</t>
  </si>
  <si>
    <t>Werden Anreize zur Nutzung von ÖV, Velos oder Carsharing geschaffen? (z. B. keine Abnahmepflicht für Autoabstellplätze, Mitfinanzierung von ÖV-Abonnements, Carsharing-Plätze oder Elektro-Ladestationen)</t>
  </si>
  <si>
    <t>Des mesures sont-elles prévues pour encourager l'utilisation de transports publics, de vélos ou de systèmes de covoiturage ? (P. ex. pas de place de parking obligatoire, participation au financement d'abonnement de transports publics, places de covoiturage ou station de recharge électrique)</t>
  </si>
  <si>
    <t>È previsto il numero minimo di posti auto consentito dalla legge nei parcheggi fuori terra o sotterranei?</t>
  </si>
  <si>
    <t>I parcheggi per biciclette sono più facili e veloci da raggiungere rispetto ai parcheggi per auto?</t>
  </si>
  <si>
    <t>Ist der Aufbau einer Ladeinfrastruktur für Elektromobilität sowohl für den motorisierten Individualverkehr wie auch für den Langsamverkehr geplant?</t>
  </si>
  <si>
    <t>Werden die Gebäudezuleitungen ausreichend dimensioniert für die (spätere) Installation von Ladeinfrastruktur?</t>
  </si>
  <si>
    <t>Sind E-Bike-Ladepunkte vorgesehen oder befindet sich in unmittelbarer Nähe ein Angebot von E-Sharing (E-Bike oder E-Trottinett)?</t>
  </si>
  <si>
    <t>Erfolgt die elektrische Erschliessung bis zu den (künftigen) Ladepunkten oder Parkierungsflächen?</t>
  </si>
  <si>
    <t>È prevista la realizzazione di un'infrastruttura di ricarica per la mobilità elettrica sia per il trasporto privato motorizzato che per il traffico non motorizzato?</t>
  </si>
  <si>
    <t>Sono previsti punti di ricarica per e-bike o esiste un servizio di e-sharing (e-bike o monopattini elettrici) nelle immediate vicinanze?</t>
  </si>
  <si>
    <t>Les câbles d'alimentation des bâtiments sont-ils suffisamment dimensionnés pour l'installation (ultérieure) de l'infrastructure de recharge ?</t>
  </si>
  <si>
    <t>Des points de recharge pour vélos électriques sont-ils prévus ou une offre de partage de vélos ou de trottinettes électriques se trouve-t-elle à proximité immédiate ?</t>
  </si>
  <si>
    <t>Wird eine Analyse von vorhandenen Naturwerten in der Umgebung (inventarisierte Flächen, seltene und geschützte Arten) durchgeführt?</t>
  </si>
  <si>
    <t>Werden auf mindestens 10 % der Umgebungsflächen Gehölzbestände (Hecken, Baumreihen, und -gruppen) aus ausschliesslich einheimischen, standortgerechten und klimawandelfähigen Arten vorgesehen?</t>
  </si>
  <si>
    <t>Est-ce que des peuplements arborés (haies, des rangées et des groupes d'arbres) composés exclusivement d'espèces indigènes, adaptés au lieu et au changement climatique sont-ils prévus sur au moins 10 % des surfaces environnantes ?</t>
  </si>
  <si>
    <t>Est-ce qu'au moins des surfaces extérieures et surfaces de toitures sont occupées par des habitats proches de l’état naturel ? (Eau, haies, arbres, prairie riche en biodiversité, toiture verte naturelle avec au moins 12 cm de substrat, etc.)</t>
  </si>
  <si>
    <t>Une attention particulière a-t-elle été donnée à la conception des limites de la parcelle pour éviter les pièges pour des petits animaux ? (P. ex. murs, grillages serrés allant jusqu’au sol)</t>
  </si>
  <si>
    <t>Erfolgt die Bepflanzung der Umgebungs-, Dach- und Fassadenflächen mit einheimischen und standortgerechten Arten?</t>
  </si>
  <si>
    <t>Wird durch den Beizug einer Fachperson das natürliche Potenzial an Flora und Fauna ausgeschöpft, um den Schutz heimischer Tier- und Pflanzenarten sicherzustellen?</t>
  </si>
  <si>
    <t>Est-ce que le recours à un professionnel approprié permet d'exploiter le potentiel naturel de la flore et de la faune afin d'assurer la protection des espèces animales et végétales indigènes ?</t>
  </si>
  <si>
    <t>Si evitano deliberatamente barriere per i piccoli animali ai confini dell'appezzamento (ad esempio muri chiusi, recinzioni a maglie strette fino al suolo) e trappole per animali?</t>
  </si>
  <si>
    <t>Almeno il 50% dell'area circostante e del tetto saranno progettate come habitat naturali? (Questo include, ad es., specchi d'acqua, siepi, alberi, prati ricchi di specie, aree ruderali, aree verdi quasi naturali sul tetto con uno spessore del substrato di almeno 12 cm, ecc.)</t>
  </si>
  <si>
    <t>Le aree circostanti, i tetti e le facciate sono piantumati con specie autoctone adatte al luogo?</t>
  </si>
  <si>
    <t>Vengono creati e protetti gli habitat per le specie animali autoctone presenti nell'area circostante?</t>
  </si>
  <si>
    <t>Viene effettuata un'analisi dei valori naturali esistenti nell'area circostante (aree inventariate, specie rare e protette)?</t>
  </si>
  <si>
    <t>Les eaux de pluie peuvent-elles infiltrer le terrain à travers la surface de la parcelle et surfaces environnantes ? (P. ex. en surface via des surfaces végétalisées, des dépressions humifiées ou sous terre via des rigoles, des bassins de rétention des eaux de pluie)</t>
  </si>
  <si>
    <t>Wird beim Bauprojekt ein naturnaher Umgang mit der Ressource Wasser gefördert, indem die Einleitung von Niederschlagwasser in die Kanalisation sowie von Schadstoffen ins Grundwasser bewusst vermieden werden und Massnahmen zur Einsparung von Trinkwasser ergriffen werden?</t>
  </si>
  <si>
    <t>Est-ce que le projet de construction encourage une utilisation de la ressource en eau proche de la nature, en évitant sciemment de déverser les eaux de pluie dans les canalisations ainsi que les substances nocives dans les eaux souterraines et en prenant des mesures pour économiser l'eau potable ?</t>
  </si>
  <si>
    <t>Est-il prévu de mettre en place des installations de rétention en surface ? (p. ex. toitures végétalisées, bassins de rétention des eaux de pluie, cuvettes de rétention)</t>
  </si>
  <si>
    <t>Wird auf die Verwendung von Bioziden bei der Gebäudehülle sowie auf den grossflächigen Einsatz von bewitterten, schwermetallenhaltigen Bauteilen verzichtet?</t>
  </si>
  <si>
    <t>Werden wassersparende Apparate und Armaturen geplant?</t>
  </si>
  <si>
    <t>Est-il prévu de renoncer à l'utilisation de biocides pour l'enveloppe du bâtiment ainsi qu'à l'utilisation à grande échelle d'éléments de construction contenant des métaux lourds et exposés aux intempéries ?</t>
  </si>
  <si>
    <t>Des appareils et des robinets économes en eau sont-ils prévus ?</t>
  </si>
  <si>
    <t>Il progetto di costruzione promuove l'uso naturale dell'acqua come risorsa, evitando deliberatamente di scaricare l'acqua piovana nella rete fognaria e le sostanze inquinanti nelle acque sotterranee e adottando misure per la conservazione dell'acqua potabile?</t>
  </si>
  <si>
    <t>Si evita l'uso di biocidi nell'involucro dell'edificio e l'uso estensivo di componenti esposti agli agenti atmosferici contenenti metalli pesanti?</t>
  </si>
  <si>
    <t>Sono previsti apparecchi e impianti a risparmio idrico?</t>
  </si>
  <si>
    <t>L'acqua piovana del lotto e delle aree circostanti può essere convogliata nel sottosuolo? (ad es., in superficie attraverso aree paesaggistiche, cunette rivestite di humus o nel sottosuolo tramite trivelle, bacini di ritenzione delle acque piovane).</t>
  </si>
  <si>
    <t>Sono previsti sistemi di ritenzione superficiale? (ad es. tetti verdi, bacini di ritenzione dell'acqua piovana, vasche di ritenzione)</t>
  </si>
  <si>
    <t>L'acqua piovana viene deliberatamente raccolta in contenitori sotterranei o superficiale (ad es. cisterne, barili per la pioggia) e riutilizzata (ad es. per lo scarico dei bagni, l'irrigazione delle piante o l'acqua di raffreddamento)?</t>
  </si>
  <si>
    <t>Wurden bei der Umgebungsplanung, die durch den Klimawandel veränderten, künftigen Bedingungen untersucht?</t>
  </si>
  <si>
    <t>Les conditions climatiques futures,modifiées par le changement climatique, ont-elles été étudiées pour la conception des espaces extérieurs ?</t>
  </si>
  <si>
    <t>Nella pianificazione ambientale sono state analizzate le condizioni future causate dai cambiamenti climatici?</t>
  </si>
  <si>
    <t>Sono state previste piante resistenti al clima a lungo termine per il paesaggio?</t>
  </si>
  <si>
    <t>Le precipitazioni particolarmente intense previste in futuro hanno avuto un ruolo nel concetto di infiltrazione e ritenzione?</t>
  </si>
  <si>
    <t>Wird mit dem Projekt ein Beitrag zur Siedlungsentwicklung nach innen (Verdichtung) geleistet, indem es innerhalb eines dicht besiedelten Gebietes in einer geeigneten Bauzone realisiert wird und die Nutzfläche (z. B. durch Aufstockung) gegenüber dem Bestand deutlich erhöht wird?</t>
  </si>
  <si>
    <t>Wird mit dem Projekt ein Beitrag zur Siedlungsentwicklung nach innen (Verdichtung) geleistet, indem es innerhalb eines dicht besiedelten Gebietes in einer geeigneten Bauzone realisiert wird und die gesetzliche mögliche Bebaubarkeit maximal ausgeschöpft wird?</t>
  </si>
  <si>
    <t>Il progetto contribuisce allo sviluppo dell'insediamento (densificazione) essendo realizzato in un'area densamente popolata, in una zona edificabile adeguata e sfruttando al massimo la capacità edificatoria legalmente possibile?</t>
  </si>
  <si>
    <t>Il progetto contribuisce allo sviluppo dell'insediamento (densificazione) essendo realizzato in un'area densamente popolata in una zona edificabile adeguata e aumenta in modo significativo la superficie utile (per esempio con la sopraelevazione) rispetto all'edificio esistente?</t>
  </si>
  <si>
    <t>Le projet contribue-t-il au développement de l'urbanisation vers l'intérieur (densification) en étant réalisé à l'intérieur d'une zone densément peuplée, dans une zone à bâtir appropriée, et en augmentant sensiblement la surface utile (par ex. par surélévation) par rapport à l'existant ?</t>
  </si>
  <si>
    <t>Le projet contribue-t-il au développement de l'urbanisation vers l'intérieur (densification) en étant réalisé à l'intérieur d'une zone densément peuplée, dans une zone à bâtir appropriée, et en exploitant au maximum la constructibilité légalement possible ?</t>
  </si>
  <si>
    <t>Sind die geplanten Gebäude dicht auf dem Grundstück angeordnet und lassen eine substanzielle Erweiterung (mind. 25 % der GF) zu oder wurde das gesamte Bebauungspotenzial maximal ausgeschöpft?</t>
  </si>
  <si>
    <t>Wird mit der Erneuerung ein wachsender Raumbedarf mit Verzicht auf Neu- oder Erweiterungsbau gedeckt oder wird durch die innere Verdichtung das Angebot deutlich erhöht (&gt; 25 %)?</t>
  </si>
  <si>
    <t>Gli edifici previsti sono disposti densamente sul lotto e consentono un ampliamento sostanziale (almeno il 25% della SP) o l'intero potenziale di sviluppo è stato sfruttato al massimo?</t>
  </si>
  <si>
    <t>Le projet de rénovation peut-il répondre aux besoins de nouveaux espaces sans agrandissement et extension ou inclut-il une densification interne significative de l'offre (&gt; 25 %) ?</t>
  </si>
  <si>
    <t>Liegt das Grundstück in einer geeigneten Bauzone und ist bereits mehrheitlich bebaut?</t>
  </si>
  <si>
    <t>La proprietà si trova in una zona edificabile adatta e la maggior parte di essa è già edificata?</t>
  </si>
  <si>
    <t>Le terrain est-il situé dans une zone constructible appropriée et est-il déjà majoritairement construit ?</t>
  </si>
  <si>
    <t>Il progetto di costruzione viene realizzato all'interno o ai margini di un'area densamente popolata?</t>
  </si>
  <si>
    <t>Für eine "SNBS Pre-Check 2023.1 Hochbau" Bewertung eines Bauvorhabens ohne zusätzliches Modul können Sie direkt zur Einleitung fortsetzen.</t>
  </si>
  <si>
    <t>Pour une évaluation "SNBS Pre-Check 2023.1 Bâtiment" sans questions supplémentaires, vous pouvez rendre directement vers l'introduction.</t>
  </si>
  <si>
    <t>Le Pre-Check 2023.1 Bâtiment fonctionne avec des macros. Si rien ne se passe lorsque vous avez choisi une langue et vous ne pouvez pas continuer vers l'introduction, il est probable que les macros soient désactivées. Veuillez quitter le document et l'enregistrer sur votre poste avant de l'ouvrir à nouveau.</t>
  </si>
  <si>
    <t>Critères</t>
  </si>
  <si>
    <t>Wird ein NIS-Zonenplan (nicht ionisierende Strahlung) erstellt und anhand von Messungen nachgewiesen, dass die Schadstoffbelastung (Formaldehyd und TVOC) und die Belastung durch Strahlung (Radon) die Grenzwerte gemäss Minergie-ECO nicht überschreiten?</t>
  </si>
  <si>
    <t>Werden die Anforderungen der MuKEn 2014 bezüglich dem Heizwärmebedarf um mindestens 30 % unterschritten (entspricht Minergie-P Standard) und wird die Behaglichkeit im Winter gemäss SIA 180 nachgewiesen?</t>
  </si>
  <si>
    <t>Les exigences du MoPEC 2014 concernant le besoin en chaleur de chauffage sont-elles inférieures d'au moins 30 % (correspond au standard Minergie-P) et le confort d'hiver est-il prouvé selon la norme SIA 180 ?</t>
  </si>
  <si>
    <t>Il fabbisogno di riscaldamento è inferiore di almeno il 30% rispetto ai requisiti dello MoPEC 2014 (corrisponde allo standard Minergie-P) e il comfort in inverno è verificato secondo la norma SIA 180?</t>
  </si>
  <si>
    <t>Werden die Anforderungen zum Tageslicht gemäss Minergie-ECO oder gemäss der Norm SN/EN 17037 "Tageslicht in Gebäuden" als Vorgabe definiert?</t>
  </si>
  <si>
    <t>Les exigences en matière de lumière du jour sont-elles définies par défaut conformément au standard Minergie-ECO ou à la norme SN/EN 17037 "L'éclairage naturel des bâtiments" ?</t>
  </si>
  <si>
    <r>
      <t>Wird eine Berechnung der Grauen Energie und Treibhausgasemissionen gemäss MB SIA 2032 vorgenommen und liegen die aufgewendete nicht erneuerbare Energie, respektive die emittierten Treibhausgase für die ''Erstellung'' des Bauvorhabens unterhalb des Grenzwerts 1 von Minergie-ECO</t>
    </r>
    <r>
      <rPr>
        <sz val="4.4000000000000004"/>
        <rFont val="Calibri"/>
        <family val="2"/>
      </rPr>
      <t>?</t>
    </r>
  </si>
  <si>
    <t>Der Pre-Check kann jedoch auch problemlos direkt mit dem Fragenkatalog gestartet werden. Versuchen Sie bei einer ersten Projektbewertung bzw. bei einer ersten Bearbeitung des Fragenkatalogs möglichst spontane Antworten zu geben. Wo sie sich nicht sicher sind, wählen Sie einfach die Option «weiss nicht». Das Tool ist so aufgebaut, dass solche Antworten entsprechend bewertet oder zu spezifischeren Fragen zum Thema führen.</t>
  </si>
  <si>
    <t>Le Pre-Check SNBS 2023.1 Bâtiment permet d'obtenir des informations sur la durabilité d'un projet en seulement 30 à 120 minutes, en répondant à des questions simples. Les questions ont pour but de relever les éventuels obstacles à un projet durable dans son ensemble et permettre de prendre des mesures en conséquent dès les premières phases de projet.</t>
  </si>
  <si>
    <t>Bereichen, Themen, Kritierien</t>
  </si>
  <si>
    <t>Domaines, Thèmes, Critères</t>
  </si>
  <si>
    <t>Entwickelt und gepflegt wird der SNBS vom Netzwerk Nachhaltiges Bauen Schweiz NNBS in enger Zusammenarbeit mit einer Zertifizierungsstelle. Entstanden ist der Standard als Gemeinschaftswerk von privater Seite und öffentlicher Hand. So konsolidiert er die relevanten Ansätze und Konzepte des nachhaltigen Bauens in der Schweiz und führt sie zu einem neuen Ganzen zusammen.</t>
  </si>
  <si>
    <t>Le Réseau Construction Durable Suisse a développé le SNBS et en assure la pérennité en collaboration avec un organisme de certification. Le SNBS est né d'une collaboration du secteur privé et pouvoirs publics. Il consolide les exigences de construction durable issues de différentes initiatives et instruments suisses et les regroupe pour former une nouvelle entité.</t>
  </si>
  <si>
    <t>Der SNBS 2023.1 Hochbau ist in die drei Bereiche der Nachhaltigkeit (Gesellschaft, Wirtschaft und Umwelt) aufgeteilt, in welchen die jeweils zu bewertenden Kriterien in verschiedene Themen zusammengefasst werden. Insgesamt werden 35 Kriterien aus 11 Themen bewertet.</t>
  </si>
  <si>
    <t>Le SNBS 2023.1 Bâtiment est divisé en trois domaines de la durabilité (société, économie et environnement), dans lesquels les critères à évaluer sont à chaque fois regroupés en différents thèmes. Au total, 35 critères répartis sur 11 thèmes sont évalués.</t>
  </si>
  <si>
    <t>Nummerierung der Kriterien</t>
  </si>
  <si>
    <t>Numérotation des critères</t>
  </si>
  <si>
    <t>Die Nummerierung der Kriterien ist wie folgt strukturiert: Die erste Ziffer steht für den Bereich, die zweite Ziffer für das Thema und die dritte Ziffer nummeriert die maximal 7 Kriterien pro Thema.</t>
  </si>
  <si>
    <t>La numérotation des critères est structurée comme suit : Le premier chiffre correspond au domaine, le deuxième chiffre au thème et le troisième chiffre numérote les 7 critères maximum par thème.</t>
  </si>
  <si>
    <t>Beträgt die Bewertung mehr als 85 %, gelten die Anforderungen im jeweiligen Kriterium als "gut" erfüllt.</t>
  </si>
  <si>
    <t>Beträgt die Bewertung zwischen 65 % und 85 %, gelten die Anforderungen im jeweiligen Kriterium als "genügend" erfüllt.</t>
  </si>
  <si>
    <t>Beträgt die Bewertung zwischen 50 % und 65 %, gelten die Anforderungen im jeweiligen Kriterium als "ungenügend" erfüllt.</t>
  </si>
  <si>
    <t>Beträgt die Bewertung weniger als 50 %, wird der jeweilige Kriterium als "Stolperstein" bezeichnet.</t>
  </si>
  <si>
    <t>Un critère sera évalué comme "rempli" s'il est à 85 % rempli.</t>
  </si>
  <si>
    <t>Un critère sera évalué comme "suffisant" s'il est 65 à 85 % rempli.</t>
  </si>
  <si>
    <t>Un critère sera évalué comme "insuffisant" s'il atteint entre 50 et 65 %. Dans ce cas, il est probable que des mesures simples permettent d'améliorer la situation.</t>
  </si>
  <si>
    <t>Un critère sera évalué comme "obstacle" si moins de 50 % de ses exigences sont remplies. Dans ces cas, des mesures urgentes sont probablement nécessaires pour assurer la durabilité du projet.</t>
  </si>
  <si>
    <t>Eine positive Antwort ergibt 100 % der Nachhaltigkeitsbewertung.</t>
  </si>
  <si>
    <t>Bei Fragen 1. Grades führt eine Antwort mit "Nein", "Teilweise" oder "Weiss nicht" zu Zusatzfragen.</t>
  </si>
  <si>
    <t>Le Standard Construction Durable Suisse SNBS Bâtiment est le premier standard suisse complet et certifiable pour les bâtiments durables. Celui-ci se base sur la "stratégie pour le développement durable" de la Confédération et soutient sa politique climatique.</t>
  </si>
  <si>
    <t>Selezione della lingua</t>
  </si>
  <si>
    <t>Navigare nel Pre-Check</t>
  </si>
  <si>
    <t>Navigare nella finestra</t>
  </si>
  <si>
    <t>All'introduzione</t>
  </si>
  <si>
    <t>Vai alle informazioni</t>
  </si>
  <si>
    <t>Al risultato</t>
  </si>
  <si>
    <t>Mostra o nascondi il menu</t>
  </si>
  <si>
    <t>Mostra o nascondi l'elenco</t>
  </si>
  <si>
    <t>Beim ''Klima-Check SNBS 2023.1 Hochbau'' handelt es sich um ein fakultativ anwendbares Zusatzmodul zum ''Pre-Check SNBS 2023.1 Hochbau''. Es ermittelt die Klimawandelgerechtigkeit eines Bauvorhabens. Das heisst, es ermittelt einerseits, inwiefern das untersuchte Gebäude auf das Klima der Zukunft vorbereitet ist, und andererseits, ob es einen Beitrag zur Minderung des Klimawandels leistet. Die Fragenbeantwortung zum ''Klima-Check'' stützt sich auf die SNBS-Kriterienstruktur ab und erfolgt demnach parallel zur ''Pre-Check''-Abfrage. Es ist jedoch durchaus möglich, nur eines der beiden Module – ''Pre-Check'' oder ''Klima-Check'' – im vorliegenden Tool anzuwenden. Eine detaillierte Erklärung von den beiden Modulen ist im Register ''Intro'' verfügbar. Es wird jederzeit möglich, ein anderes Modul zu wählen.</t>
  </si>
  <si>
    <t xml:space="preserve">   Introduzione   </t>
  </si>
  <si>
    <t>Criteri</t>
  </si>
  <si>
    <t>Domande</t>
  </si>
  <si>
    <t>Valutazione</t>
  </si>
  <si>
    <t>Avanti</t>
  </si>
  <si>
    <t>Il breve testo esplicativo può essere utile quando si utilizza il Pre-Check per la prima volta.</t>
  </si>
  <si>
    <t>Area, temi, criteri</t>
  </si>
  <si>
    <t>Lo Standard Costruzione Sostenibile Svizzera SNBS Edificio è il primo standard completo e certificabile per gli edifici sostenibili in Svizzera. Si basa sulla strategia di sostenibilità del Consiglio federale e intende contribuire alla politica climatica.</t>
  </si>
  <si>
    <t>Numerazione dei criteri</t>
  </si>
  <si>
    <t>Selezionare la risposta</t>
  </si>
  <si>
    <t>Metodo di riduzione</t>
  </si>
  <si>
    <t>Selezionare una risposta</t>
  </si>
  <si>
    <t>Poiché la prima risposta non è chiara, nel Pre-Check vengono visualizzate altre domande.</t>
  </si>
  <si>
    <t>Meccanismo di valutazione</t>
  </si>
  <si>
    <t>Panoramica della valutazione</t>
  </si>
  <si>
    <t>Una risposta positiva corrisponde al 100% del punteggio di sostenibilità.</t>
  </si>
  <si>
    <t>Figura I</t>
  </si>
  <si>
    <t>Bei den Umweltthemen (grün dargestellt) schneidet das Projekt besonders gut ab. Die Anforderungen der Kriterien werden grösstenteils erfüllt.</t>
  </si>
  <si>
    <t>Nel diagramma adiacente si può osservare quanto segue:</t>
  </si>
  <si>
    <t>Il progetto si comporta particolarmente bene nei temi ambientali (indicati in verde). I requisiti dei criteri sono ampiamente soddisfatti.</t>
  </si>
  <si>
    <t>Figura II</t>
  </si>
  <si>
    <t>Im Bereich ''Gesellschaft'' wird ein Erfüllungsgrad von 73 % erzielt.</t>
  </si>
  <si>
    <t>Nella seconda parte, la valutazione delle aree e dei singoli temi è rappresentata graficamente con barre orizzontali.</t>
  </si>
  <si>
    <t>Nell'area “Società” è stato raggiunto un livello di adempimento del 73%.</t>
  </si>
  <si>
    <t>Nell'esempio precedente vengono visualizzate le seguenti informazioni:</t>
  </si>
  <si>
    <t>Certificazioni SNBS</t>
  </si>
  <si>
    <t>Zertifizierbar ist der Neubau oder die Erneuerung von Gebäuden der Kategorien ''Wohnen'', ''Verwaltung/Büro'', ''Bildungsbauten'' und ''Gewerbenutzung im Erdgeschoss''. Objekte mit Erdgeschossnutzungen und anderen Nutzungen können ebenfalls zertifiziert werden, wenn diese weiteren Nutzungen nicht mehr als 20 % der Energiebezugsfläche in Anspruch nehmen.</t>
  </si>
  <si>
    <t>Il est possible de certifier des nouvelles constructions et les rénovations pour les affectations ''logements'', ''administration/bureaux'', ''bâtiments scolaires'' et ''utilisation mixte  commerciale au rez-de-chaussé''. Les projets qui incluent d'affectations de rez-de-chaussée et les autres affectations peuvent également être certifiés pour autant que ces fonctions n'occupent pas plus de 20 % de la surface de référence énergétique (SRE).</t>
  </si>
  <si>
    <t>Der Pre-Check liefert Hinweise zum Nachhaltigkeitsgrad von Projekten, aufgrund des Genauigkeitsgrads können damit keine abschliessenden Rückschlüsse im Hinblick auf SNBS-Zertifizierungen gezogen werden. Die Zertifizierung gliedert sich in zwei Prüfrunden und verläuft gemäss folgendem Prozess:</t>
  </si>
  <si>
    <t>Le Pre-Check offre des indications sur le degré de durabilité des projets, mais il ne suffit en aucun cas à tirer des conclusions sur le potentiel de certification du projet. De par son format court et intuitif, il garde certaines imprécisions. La certification s’articule en deux cycles de contrôle et se déroule selon le processus suivant:</t>
  </si>
  <si>
    <t>Il pre-check fornisce informazioni sul grado di sostenibilità dei progetti, ma a causa del grado di accuratezza non è possibile trarre conclusioni definitive in merito alla certificazione SNBS. La certificazione è suddivisa in due cicli di verifica, secondo il processo seguente:</t>
  </si>
  <si>
    <t>Grundsätzlich werden Erneuerungen gleich wie Neubauten bewertet und es gelten dieselben Anforderungen. Auf Grund von strukturellen oder konstruktiven Gegebenheiten sind bei folgenden Kriterien zusätzliche ungenügende Bewertungen zulässig:</t>
  </si>
  <si>
    <t>Par principe, les rénovations sont évaluées exactement de la même manière que les nouvelles constructions et doivent répondre aux mêmes exigences. Pour des raisons structurelles ou liées à la construction, des notes insuffisantes sont autorisées pour les critères suivants :</t>
  </si>
  <si>
    <t>In caso di risanamenti</t>
  </si>
  <si>
    <t>Ora è possibile iniziare con il catalogo delle domande.</t>
  </si>
  <si>
    <t>Nota 1: Se non si riesce a vedere il testo completo di una domanda, provare a regolare l'impostazione dello zoom della finestra in Excel.</t>
  </si>
  <si>
    <t>Nota 2: Se si verifica un errore, si consiglia di salvare e riavviare il programma.</t>
  </si>
  <si>
    <t>Per maggiori informazioni sull'NNBS, seguite questo link:</t>
  </si>
  <si>
    <t>Per ulteriori informazioni sull'SNBS, seguite questo link:</t>
  </si>
  <si>
    <t xml:space="preserve">Beim ''Klima-Check SNBS 2023.1 Hochbau'' handelt es sich um ein fakultativ anwendbares Zusatzmodul zum ''Pre-Check SNBS 2023.1 Hochbau''. Es ermittelt die Klimawandelgerechtigkeit eines Bauvorhabens. Das heisst, es ermittelt einerseits, inwiefern das untersuchte Gebäude auf das Klima der Zukunft vorbereitet ist (Klimaanpassung), und andererseits, ob es einen Beitrag zur Minderung des Klimawandels leistet (Klimaschutz). Die Fragenbeantwortung zum ''Klima-Check'' stützt auf die SNBS-Kriterienstruktur ab und erfolgt demnach parallel zur ''Pre-Check''-Abfrage. Es ist jedoch durchaus möglich, nur eines der beiden Module – ''Pre-Check'' oder ''Klima-Check'' – im vorliegenden Tool anzuwenden. </t>
  </si>
  <si>
    <t>Le ''Check Climat SNBS 2023.1 Bâtiment'' est un module supplémentaire et facultatif du ''SNBS 2023.1 Bâtiment''. Il détermine l'efficacité d'un bâtiment face aux changements climatiques. D'une part, il évalue dans quelle mesure un bâtiment évalué est préparé aux changements climatiques (adaptation au changement climatique) et, d'autre part, si le projet peut contribuer à une réduction des effets du changement climatique sur ses utilisateurs et son environnement (protection du climat). Les questions du ''Check Climat'' sont basées sur la structure des critères SNBS et elles sont posées avec le questionnaire ''Pre-Check''. L'outil d'évaluation permet également de ne répondre qu'à l'un des deux modules (''Pre-Check'' ou ''Check Climat'').</t>
  </si>
  <si>
    <t>* Link im Register Info.</t>
  </si>
  <si>
    <t>Das Klima der Zukunft wird sich erheblich vom heutigen unterscheiden. Die Forschung sagt u.a. einen deutlichen Temperaturanstieg, heftigere Niederschläge und eine Erhöhung der Naturgefahren voraus [CH 2018]*.  Gebäude, die heute geplant werden, sind während deren Lebenszeit auch dem Klima der Zukunft ausgesetzt. Demnach ist es wichtig, dass sie auch mit den künftigen Gegebenheiten unseren Ansprüchen genügen, z. B. bei höheren Sommertemperaturen den Behaglichkeitsanforderungen entsprechen.</t>
  </si>
  <si>
    <t>Les conditions climatiques futures s'écarteront fortement de la situation actuelle. Des recherches prévoient notamment une augmentation de la température significative, une intensification des précipitations et des risques naturels plus nombreux et dangereux [CH 2018]*. Les bâtiments planifiés en ce moment seront également exposés au changement climatique. Il est donc important que les exigences actuelles soient suffisantes pour des conditions futures ; les exigences de conforts doivent correspondre aux températures estivales plus élevées à venir.</t>
  </si>
  <si>
    <t>* Link nella scheda Info.</t>
  </si>
  <si>
    <t xml:space="preserve">La tabella seguente fornisce una panoramica della struttura del ''Check Clima SNBS 2023.1 Edificio'': </t>
  </si>
  <si>
    <t>Structure du ''Check Climat''</t>
  </si>
  <si>
    <t>Questionnaire ''Check Climat''</t>
  </si>
  <si>
    <t>Le ''Check Climat''</t>
  </si>
  <si>
    <t>Il ''Check Clima''</t>
  </si>
  <si>
    <t>Struttura del ''Check Clima''</t>
  </si>
  <si>
    <t>Catalogo delle domande del 'Check Clima''</t>
  </si>
  <si>
    <t>und wählen Sie dann die Antwort aus.</t>
  </si>
  <si>
    <t>Die zusätzlichen ''Klima-Check'' Fragen sind gemäss den zugehörigen Kriterien nummeriert und mit einem ''K'' versehen.</t>
  </si>
  <si>
    <t>Questa parte dell'introduzione vi aiuterà a capire come funziona il questionario per lo strumento selezionato.</t>
  </si>
  <si>
    <t>Selezionare questa risposta.</t>
  </si>
  <si>
    <t>Leggere le informazioni</t>
  </si>
  <si>
    <t>e poi selezionare la risposta.</t>
  </si>
  <si>
    <t>Le mécanisme de réduction et l’évaluation des questions fonctionnent de manière similaire pour le ''Pre-Check'' et le ''Check Climat''. Les questions posées lors du questionnaire dépendent de l'outil sélectionné à la page d'accueil "Tool". Vous pouvez vous changer d'outil à tout moment avec le bouton prévu à cet effet dans le menu en haut de page.</t>
  </si>
  <si>
    <t>È anche possibile effettuare solo il ''Check Clima''.</t>
  </si>
  <si>
    <t>'Klima-Check''-Kriterien können ebenfalls Fragen zweiten Grades aufweisen.</t>
  </si>
  <si>
    <t>I criteri di “Check Clima” possono anche avere domande di secondo grado.</t>
  </si>
  <si>
    <t>Presentazione dei risultati del ''Check Clima''</t>
  </si>
  <si>
    <t>Les résultats d'une évaluation ''Check Climat'' sont présentés sur une page indépendante. À l'exemple du ''Pre-Check'', les critères ''Check Climat'' sont représentés dans les catégories ''obstacle'', ''insuffisant'', ''suffisant'' et ''rempli''. Les critères sont répartis selon les trois domaines de durabilité SNBS : ''Société'', ''Économie'' et ''Environnement''. Le taux des exigences ''Check Climat'' atteint peut être observé pour chaque domaine sur la gauche du tableau en pourcentage sous la forme d'un diagramme horizontal.</t>
  </si>
  <si>
    <t>77 % der Anforderungen des Klima-Checks wurden erfüllt</t>
  </si>
  <si>
    <t>Il calcolo del grado di adempimento è paragonabile a quello del ''Pre-Check'' ed è spiegato in dettaglio nella sezione ''Meccanismo di valutazione''.</t>
  </si>
  <si>
    <t>Sur cette fiche, vous trouverez des informations complémentaires pour certains critères et leurs questions correspondantes. La numérotation correspond à celle indiquée dans la colonne de droite du questionnaire.</t>
  </si>
  <si>
    <t>Bei Erneuerungen dürfen im Rahmen einer SNBS-Zertifizierung folgende Kriterien eine ungenügende Note aufweisen. Die Durchschnittsbewertung des übergeordneten Themas muss jedoch genügend bleiben.</t>
  </si>
  <si>
    <t>En cas de rénovation, une évaluation SNBS insuffisante est tolérée pour les critères suivants. L'évaluation du thème correspondant doit cependant rester suffisante.</t>
  </si>
  <si>
    <t>Chiudere la finestra</t>
  </si>
  <si>
    <t>Catalogo delle domande in una nuova finestra</t>
  </si>
  <si>
    <t>Risanamenti</t>
  </si>
  <si>
    <t>Einige der Kriterien bauen auf gängige Schweizer Normen und Empfehlungen auf, z. B. der SIA. Detaillierte Informationen sind in den angegebenen Dokumenten zu finden:</t>
  </si>
  <si>
    <t>Certains des critères se basent sur des normes et des recommandations suisses courantes, p. ex. les normes SIA. Pour plus d'informations, veuillez-vous référer directement aux produits en question :</t>
  </si>
  <si>
    <t>Norme SIA</t>
  </si>
  <si>
    <t>Alcuni criteri si basano su standard e raccomandazioni svizzere attuali, come ad esempio il SIA. Informazioni dettagliate sono disponibili nei documenti elencati:</t>
  </si>
  <si>
    <t xml:space="preserve">Concorsi e mandati di studio </t>
  </si>
  <si>
    <t>Regolamenti SIA 142/143</t>
  </si>
  <si>
    <t>Regolamenti SIA 144</t>
  </si>
  <si>
    <t>Isolamento termico, protezione contro l’umidità e clima interno degli edifici</t>
  </si>
  <si>
    <t>Norma SIA 180</t>
  </si>
  <si>
    <t>Norma SIA 181</t>
  </si>
  <si>
    <t>La protezione dal rumore nelle costruzioni edilizie</t>
  </si>
  <si>
    <t>Fabbisogno termico per il riscaldamento</t>
  </si>
  <si>
    <t>Norma SIA 380/1</t>
  </si>
  <si>
    <t>SIA Norm 387/4</t>
  </si>
  <si>
    <t>Norme SIA 387/4</t>
  </si>
  <si>
    <t>Norma SIA 387/4</t>
  </si>
  <si>
    <r>
      <t xml:space="preserve">Klimatisierte Gebäude </t>
    </r>
    <r>
      <rPr>
        <sz val="11"/>
        <rFont val="Aptos Narrow"/>
        <family val="2"/>
      </rPr>
      <t>−</t>
    </r>
    <r>
      <rPr>
        <sz val="11"/>
        <rFont val="Calibri"/>
        <family val="2"/>
        <scheme val="minor"/>
      </rPr>
      <t xml:space="preserve"> Leistungs- und Energiebedarf</t>
    </r>
  </si>
  <si>
    <r>
      <t xml:space="preserve">Edifici climatizzati </t>
    </r>
    <r>
      <rPr>
        <sz val="11"/>
        <rFont val="Aptos Narrow"/>
        <family val="2"/>
      </rPr>
      <t>−</t>
    </r>
    <r>
      <rPr>
        <sz val="11"/>
        <rFont val="Calibri"/>
        <family val="2"/>
        <scheme val="minor"/>
      </rPr>
      <t xml:space="preserve"> Fabbisogno di potenza e di energia</t>
    </r>
  </si>
  <si>
    <t>Elettricità negli edifici − Illuminazione: calcolo requisiti</t>
  </si>
  <si>
    <t>Bâtiments climatisés − Puissance requise et besoins d'énergie</t>
  </si>
  <si>
    <t>Électricité dans les bâtiments − Éclairage: calcul et exigences</t>
  </si>
  <si>
    <t>Elektrizität in Gebäuden − Beleuchtung: Berechnung und Anforderungen</t>
  </si>
  <si>
    <t xml:space="preserve">Evacuazione delle acque di cantiere </t>
  </si>
  <si>
    <t>SIA Norm 431 (keine italianische Fassung)</t>
  </si>
  <si>
    <t>Norma SIA 500</t>
  </si>
  <si>
    <t>Costruzioni senza ostacoli</t>
  </si>
  <si>
    <r>
      <t xml:space="preserve">Graue Energie </t>
    </r>
    <r>
      <rPr>
        <sz val="11"/>
        <rFont val="Aptos Narrow"/>
        <family val="2"/>
      </rPr>
      <t>−</t>
    </r>
    <r>
      <rPr>
        <sz val="11"/>
        <rFont val="Calibri"/>
        <family val="2"/>
        <scheme val="minor"/>
      </rPr>
      <t xml:space="preserve"> Ökobilanzierung für die Erstellung von Gebäuden</t>
    </r>
  </si>
  <si>
    <t>L’énergie grise − Établissement du bilan écologique pour la construction de bâtiments</t>
  </si>
  <si>
    <t>Energia grigia − Bilancio ecologico per la costruzione di edifici</t>
  </si>
  <si>
    <t>SIA-Effizienzpfad Energie</t>
  </si>
  <si>
    <t>La via SIA verso l'efficienza energetica</t>
  </si>
  <si>
    <t>Quaderno tecnico SIA 2032</t>
  </si>
  <si>
    <t>Quaderno tecnico SIA 2040</t>
  </si>
  <si>
    <t xml:space="preserve">Durchgängigkeit des SNBS und Minergie® </t>
  </si>
  <si>
    <t>Consistenza di SNBS e Minergie®</t>
  </si>
  <si>
    <t>FM-gerechte Bauplanung und Realisierung</t>
  </si>
  <si>
    <t>Progettazione e realizzazione secondo le regole del FM</t>
  </si>
  <si>
    <t>FM adapté à la planification et à la réalisation de constructions</t>
  </si>
  <si>
    <t>Einwirkungen auf Tragwerke</t>
  </si>
  <si>
    <t>Actions sur les structures porteuses</t>
  </si>
  <si>
    <t>Azioni sulle strutture portanti</t>
  </si>
  <si>
    <t>Le SNBS renforce les différents certificats de l'Office fédéral de l'Energie (GEAK et Minergie (-ECO)). Lorsque des critères reprennent les objectifs validés par l'un de ces certificats, ceux-ci peuvent être comptabilisés dans le SNBS 2023.1. Ces doubles certifications sont reconnues comme justificatifs et permettent de raccourcir le travail.</t>
  </si>
  <si>
    <t>Mit dem SNBS 2023.1 wird die Labelfamilie des Bundesamts für Energie (GEAK und Minergie (-ECO)) gestärkt. Wenn bei Kriterien Anforderungen und Ziele dieser Label bestehen, werden diese im SNBS 2023.1 aufgenommen. Doppel- und Mehrfachzertifizierungen werden als Nachweise anerkannt, der Zusatzaufwand wird reduziert.</t>
  </si>
  <si>
    <t>In folgenden Kriterien werden ECO-Anforderungen direkt übernommen:</t>
  </si>
  <si>
    <t>Les critères suivants sont remplis avec une certification Minergie-ECO :</t>
  </si>
  <si>
    <t>Per i criteri ''Minergie'', il voto viene assegnato automaticamente come segue:</t>
  </si>
  <si>
    <t>I requisiti ECO sono adottati direttamente nei criteri seguenti:</t>
  </si>
  <si>
    <t>Variabili misurate 1, 2, 5, 7</t>
  </si>
  <si>
    <t>Per la valutazione della luce diurna e dell'energia grigia, Minergie ECO fornisce ulteriori documenti al seguente indirizzo.</t>
  </si>
  <si>
    <t>Une note est attribuée automatiquement pour les classements ''Minergie'' comme suit :</t>
  </si>
  <si>
    <t>Ulteriori principi</t>
  </si>
  <si>
    <t>Gli standard e le linee guida non basati su SIA o Minergie possono essere trovati utilizzando il link sottostante ai rispettivi siti web:</t>
  </si>
  <si>
    <t>Standard SNV</t>
  </si>
  <si>
    <t>Luce diurna negli edifici</t>
  </si>
  <si>
    <t>Norma SNV SN EN 17037</t>
  </si>
  <si>
    <t>Linee guida SUVA</t>
  </si>
  <si>
    <t>Isolamento acustico</t>
  </si>
  <si>
    <t>Valori limite e guida acustici</t>
  </si>
  <si>
    <t>Linee guida BAFU</t>
  </si>
  <si>
    <t>Inquinamento ambientale in cantiere</t>
  </si>
  <si>
    <t>Protezione del suolo in cantiere</t>
  </si>
  <si>
    <t>Controllo dell'inquinamento atmosferico nei cantieri</t>
  </si>
  <si>
    <t>Direttiva sul rumore in cantiere</t>
  </si>
  <si>
    <t>Linee guida Eco-BKP</t>
  </si>
  <si>
    <t>Strutture comuni di cantiere</t>
  </si>
  <si>
    <t>Linee guida USTRA</t>
  </si>
  <si>
    <t>Numero di parcheggi per biciclette</t>
  </si>
  <si>
    <t>Principi fondamentali di importanza strategica</t>
  </si>
  <si>
    <t>Monitoraggio BWA</t>
  </si>
  <si>
    <t>Concorsi e gare d'appalto</t>
  </si>
  <si>
    <t>Organizzazione, intenzione e procedura</t>
  </si>
  <si>
    <t>PR-NIS AWEL Zurigo</t>
  </si>
  <si>
    <t>Radiazioni non ionizzanti</t>
  </si>
  <si>
    <t>Linea guida per la pianificazione</t>
  </si>
  <si>
    <t>Diritto del lavoro e ordinanze</t>
  </si>
  <si>
    <t>Linee guida</t>
  </si>
  <si>
    <t>Norma DIN 18041:2016</t>
  </si>
  <si>
    <t>Acustica degli ambienti - Requisiti, raccomandazioni e note per la progettazione</t>
  </si>
  <si>
    <t>Numero massimo di superfici vetrate</t>
  </si>
  <si>
    <t>Numero massimo di superfici vetrate in relazione ai criteri del locale</t>
  </si>
  <si>
    <t>Gruppi climatici, suddivisi in base alla stazione climatica</t>
  </si>
  <si>
    <t>Ufficio individuale, ufficio collettivo, locali con un massimo di 2 facciate, soffitto in calcestruzzo (&gt; 40 % libero) e controllo automatico dell'ombreggiatura solare, vetro GWert ≤ 30 %.</t>
  </si>
  <si>
    <t>Gruppo climatico</t>
  </si>
  <si>
    <t>Località</t>
  </si>
  <si>
    <t>Aigle, Altdorf, Basilea-Binningen, Buchs-Aarau, Coira, Lucerna, Sciaffusa, Vaduz, Berna, Liebefeld, Glarona, Güttingen, Interlaken, Payerne, Rünenberg, San Gallo, Wynau, Zurigo, Kloten, Zurigo-Meteo Svizzera</t>
  </si>
  <si>
    <t>Da: Guida all'applicazione degli standard edilizi Minergie / Minergie-P / Minergie-A, versione attuale.1, pag. 48.</t>
  </si>
  <si>
    <t>Misure della distanza</t>
  </si>
  <si>
    <t>- Mindestens ein Angebot zum Einkaufen für den täglichen Bedarf (Lebensmittelgeschäft) in einer Gehdistanz von max. 500m (ausser bei Schulen Primarschule und Sek I)
- Bei Schulen der Primarstufe und Sek I: Mindestens ein Angebot einer schulischen Tagesstruktur (Hort, Mittagstisch, Tagesschule) in einer Gehdistanz von max. 500m.
- Mindestens ein gastronomisches Angebot (Restaurant, Café, Mensa usw.) soll vorhanden sein. In Agglomeration und Zentren: in einer Gehdistanz von max. 500 m. Auf dem Land: in einer Gehdistanz von max. 750 m.
- Mindestens ein Angebot, das öffentlich zur Erholung genutzt werden kann (Aussen- /Freiräume mit Sitzmöglichkeit, Park, Platz usw.), soll vorhanden sein. In Agglomeration und Zentren: in einer Gehdistanz von max. 500 m. Auf dem Land: in einer Gehdistanz von max. 750 m.
- Mindestens eine soziale Infrastruktur (Kindergarten, Primarschule, Quartierzentrum usw.) soll vorhanden sein. In Agglomeration und Zentren: in einer Gehdistanz von max. 500 m. Auf dem Land: in einer Gehdistanz von max. 750 m.</t>
  </si>
  <si>
    <t>A Google Maps</t>
  </si>
  <si>
    <t>La mancanza di strutture nell'area circostante potrebbe essere compensata con offerte nell'immobile in progetto.</t>
  </si>
  <si>
    <t>SNBS 2023.1 Bâtiment Fiches-Critères, Édition du 13 septembre 2023, Mise à jour du 22 février 2024, p. 192</t>
  </si>
  <si>
    <t>SNBS 2023.1 Hochbau Kriterienbeschrieb, Ausgabe vom 13. September 2023, Update vom 9. Februar 2024, S. 186</t>
  </si>
  <si>
    <t>SNBS 2023.1 Edificio Descrizione dei Criteri, Edizione a partire dal 13 settembre 2023, Aggiornamento 1 luglio 2024, p. 187</t>
  </si>
  <si>
    <t>Commesse del settore pubblico</t>
  </si>
  <si>
    <t xml:space="preserve">Se il valore totale stimato (costruzione fuori terra e interrata, escluso il terreno, gli onorari e l'IVA) di un edificio supera gli 8,7 milioni di franchi svizzeri, i mandati nell’ambito di applicazione dei trattati internazionali devono essere sottoposti a gara d'appalto. In questo caso, gli appalti locali possono essere controllati solo in misura limitata per motivi di parità di trattamento: se si deve appaltare un servizio di costruzione che rientra nella cosiddetta "clausola bagatellare" (Art. 16 capoverso 4 LA-Pub/CIAP 2019), questo può essere aggiudicato con procedura pubblica/selettiva ad invito o nego-ziata, a seconda del valore dell'appalto (&lt; 2 milioni di franchi svizzeri) nell’rispetto dei trattati inter-nazionali. </t>
  </si>
  <si>
    <t xml:space="preserve">Esempio di applicazione: il valore totale di un edificio scolastico è di 40 milioni di franchi svizzeri. Di questi, un massimo del 20%, cioè 8 milioni di franchi, a queste prestazioni si applicano le disposizioni relative agli appalti pubblici che non rientrano nell’ambito di applicazione dei trattati internazionali. Tuttavia, gli 8 milioni di CHF devono essere suddivisi in modo tale che nessun singolo contratto superi i 2,0 milioni di CHF. Ulteriori guide all'uso sono disponibili nella scheda informativa del KBOB "Clausola bagatella". </t>
  </si>
  <si>
    <t xml:space="preserve">Si la valeur totale estimée d’un bâtiment (génie civil et bâtiments hors coûts terrain, honoraires et TVA) dépasse 8,7 millions CHF, les marchés soumis aux accords internationaux doivent faire l’objet d’un appel d’offres public. Dans ce cas, l’adjudication locale n’est possible que de manière limitée pour des raisons d’égalité de traitement: pour l’adjudication de travaux relevant de la «clause de minimis)» (art. 16 al. 4 LMP/AIMP 2019) non soumis aux accords internationaux, le travail peut ainsi être adjugé en fonction de la valeur du mandat (&lt; 2 millions CHF) au moyen de procédures ou-vertes/sélectives, sur invitation, respectivement de gré à gré.  </t>
  </si>
  <si>
    <t xml:space="preserve">Exemple d’application: la valeur totale d’un complexe scolaire est de 40 millions de CHF. Au maxi-mum 20 % de ce montant, soit 8 millions CHF, peuvent faire l’objet d’adjudications non soumises aux accords internationaux. Néanmoins, les 8 millions CHF doivent être répartis de manière qu’au-cun mandat ne dépasse 2,0 millions CHF. D’autres aides à l’utilisation sont disponibles dans la fiche d’information correspondante de la KBOB. </t>
  </si>
  <si>
    <t>Carte des types d’espace urbain</t>
  </si>
  <si>
    <t>Mappa utile</t>
  </si>
  <si>
    <t>Link alla mappa dei siti inquinati</t>
  </si>
  <si>
    <t>Collegamento alla mappa dei rischi naturali</t>
  </si>
  <si>
    <t>Collegamento alla mappa delle zone di protezione delle acque sotterranee</t>
  </si>
  <si>
    <t>Collegamento alla mappa delle zone di protezione del paesaggio urbano</t>
  </si>
  <si>
    <t>Dati climatici</t>
  </si>
  <si>
    <t>MeteoSvizzera</t>
  </si>
  <si>
    <t>Ulteriori informazioni sul NCCS:</t>
  </si>
  <si>
    <t>Al sito web del NCCS</t>
  </si>
  <si>
    <t>Die ungenügende Kriterien sowie die ''Stolpersteine'' werden nachfolgend - auf die jeweiligen Bereiche aufgeteilt - noch spezifisch aufgeführt.</t>
  </si>
  <si>
    <t>Die folgenden Kriterien werden als "ungenügend" bewertet und erfordern Nachbesserungen, um den Nachhaltigkeitsansprüchen zu genügen:</t>
  </si>
  <si>
    <t xml:space="preserve">Folgende Kriterien werden als "Stolpersteine" im Hinblick auf die Realisierung eines gesamtheitlich nachhaltigen Projektes identifiziert: </t>
  </si>
  <si>
    <t>Dazu werden die einzelnen Kriterien mit Farbcodes bewertet: Grüne Schrift und durchgestrichen bedeutet «gut», nur grüne Schrift steht für «genügend», rote Schrift steht für «ungenügend» und fette rote Schrift in rotem Rahmen kennzeichnet die «Stolpersteine».</t>
  </si>
  <si>
    <t>Bei Erneuerungen dürften im Rahmen einer SNBS-Zertifizierung folgende Kriterien eine ungenügende Bewertung aufweisen, solange die Durchschnittsbenotung im übergeordneten Thema genügend bleibt:</t>
  </si>
  <si>
    <t xml:space="preserve">   Risultato   </t>
  </si>
  <si>
    <t>Esportazione/Stampa</t>
  </si>
  <si>
    <t>Data:</t>
  </si>
  <si>
    <t>Nome del progetto:</t>
  </si>
  <si>
    <t>Ostacolo</t>
  </si>
  <si>
    <t>Insufficiente</t>
  </si>
  <si>
    <t>Sufficiente</t>
  </si>
  <si>
    <t>I seguenti criteri sono classificati come “insoddisfacenti” e richiedono miglioramenti per soddisfare i requisiti di sostenibilità:</t>
  </si>
  <si>
    <t xml:space="preserve">I seguenti criteri sono stati identificati come “ostacoli” alla realizzazione di un progetto complessivamente sostenibile: </t>
  </si>
  <si>
    <t>La figura nella seconda pagina utilizza delle barre orizzontali per mostrare in che misura un progetto soddisfa i requisiti della SNBS nei rispettivi temi delle aree sociali, economiche e ambientali e nelle aree stesse.</t>
  </si>
  <si>
    <t>I singoli criteri vengono valutati utilizzando dei codici colore: La scritta verde e barrata significa “buono”, la sola scritta verde indica “sufficiente”, la scritta rossa indica “insoddisfacente” e la scritta rossa in grassetto in una cornice rossa indica gli “ostacoli”.</t>
  </si>
  <si>
    <t>Nell'area “Ambiente” è stato raggiunto un livello di adempimento dello 0%.</t>
  </si>
  <si>
    <t>Valutazione dei criteri</t>
  </si>
  <si>
    <t>Ad alcuni criteri è stato dato un nuovo nome:</t>
  </si>
  <si>
    <t>Alcuni criteri rimangono invariati:</t>
  </si>
  <si>
    <t>Alcuni criteri sono stati eliminati:</t>
  </si>
  <si>
    <t>Note:</t>
  </si>
  <si>
    <t>Presentazione dei risultati del Check Clima</t>
  </si>
  <si>
    <t>Struttura della presentazione dei risultati del Check Clima</t>
  </si>
  <si>
    <t>La presentazione dei risultati del ''Check Clima'' si basa sui criteri SNBS che sono stati adattati per riflettere le questioni relative al cambiamento climatico.</t>
  </si>
  <si>
    <t>Una spiegazione del meccanismo di valutazione del Pre-Check si trova nell'introduzione. È possibile accedervi tramite il menu a comparsa nella scheda della finestra.</t>
  </si>
  <si>
    <t xml:space="preserve">Ulteriori dettagli sulla valutazione SNBS sono disponibili nel descrizione ufficiale dei criteri: </t>
  </si>
  <si>
    <t>Le Pre-Check n’offre qu’une évaluation du niveau de durabilité d’un projet donné et ne permet pas de savoir si une certification sera par la suite envisageable. Il est possible qu’un projet ne soit pas certifiable en dépit ses bons résultats au Pre-Check.
Il est expressément interdit aux utilisateurs et aux utilisatrices de se servir du Pre-Check à des fins publicitaires vis-à-vis du public (telles que des informations sur la vente).</t>
  </si>
  <si>
    <t>Il Pre-Check fornisce solo una valutazione del livello di sostenibilità di un progetto edilizio e non garantisce la certificazione dell'immobile analizzato. In singoli casi, la certificazione potrebbe non essere possibile nonostante un buon risultato complessivo del Pre-Check.
Agli utenti è espressamente vietato utilizzare i risultati del Pre-Check a fini pubblicitari (ad esempio, nelle informazioni di vendita).</t>
  </si>
  <si>
    <t>Bewertung der Bereiche, Themen und Kriterien</t>
  </si>
  <si>
    <t>Das folgende Diagramm besteht aus zwei Teilen.</t>
  </si>
  <si>
    <t>Auf der linken Seite sind die Bewertungen der drei Bereiche und den jeweiligen Themen in Form von horizontalen Balken ersichtlich.</t>
  </si>
  <si>
    <r>
      <t>Im Bereich ''Gesellschaft'' wird ein Erfüllungsgrad von 0</t>
    </r>
    <r>
      <rPr>
        <sz val="8"/>
        <color theme="1"/>
        <rFont val="Calibri"/>
        <family val="2"/>
        <scheme val="minor"/>
      </rPr>
      <t> </t>
    </r>
    <r>
      <rPr>
        <sz val="11"/>
        <color theme="1"/>
        <rFont val="Calibri"/>
        <family val="2"/>
        <scheme val="minor"/>
      </rPr>
      <t>% erzielt.</t>
    </r>
  </si>
  <si>
    <t>Im Bereich ''Wirtschaft'' wird ein Erfüllungsgrad von 0% erzielt.</t>
  </si>
  <si>
    <t>Im Bereich ''Umwelt'' wird ein Erfüllungsgrad von 0% erzielt.</t>
  </si>
  <si>
    <t>Auf der rechten Seite sind ''Stolpersteine'' rot, umrahmt und in Fettschrift dargestellt,  ''ungenügende'' Kriterien rot, ''genügende'' Kriterien grün und ''gute'' Kriterien grün und durchgestrichen.</t>
  </si>
  <si>
    <t>Valutazione di aree, argomenti e criteri</t>
  </si>
  <si>
    <t>Il seguente diagramma è composto da due parti.</t>
  </si>
  <si>
    <t>Sul lato sinistro, le valutazioni delle tre aree e dei rispettivi argomenti sono mostrate sotto forma di barre orizzontali.</t>
  </si>
  <si>
    <t>Nell'area “Società” si raggiunge un livello di adempimento dello 0%.</t>
  </si>
  <si>
    <t>Nell'area “Economia” è stato raggiunto un livello di adempimento dello 0%.</t>
  </si>
  <si>
    <t>Sul lato destro, gli ''ostacoli'' sono indicati in rosso, incorniciati e in grassetto, i criteri ''insufficienti'' in rosso, i criteri ''sufficienti'' in verde e i criteri ''buoni'' in verde e barrati.</t>
  </si>
  <si>
    <t>Auf der linken Seite zeigt das Diagramm Stärken und Schwächen des Projekts visuell auf.</t>
  </si>
  <si>
    <t>Auf der rechten Seite werden "ungenügende" Kriterien sowie "Stolpersteine" aufgelistet.</t>
  </si>
  <si>
    <t xml:space="preserve">Folgende Kriterien werden als "Stolpersteine" im Hinblick auf die Realisierung eins gesamtheitlich nachhaltigen Projekts identifiziert: </t>
  </si>
  <si>
    <r>
      <t>Bei Erneuerungen dürften im Rahmen einer SNBS-Zertifizierung folgende Kriterien eine ungenügende Bewertung aufweisen, solange die Durchschnittsbenotung im übergeordneten Thema genügend bleibt</t>
    </r>
    <r>
      <rPr>
        <sz val="8"/>
        <color theme="1"/>
        <rFont val="Calibri"/>
        <family val="2"/>
        <scheme val="minor"/>
      </rPr>
      <t> </t>
    </r>
    <r>
      <rPr>
        <sz val="11"/>
        <color theme="1"/>
        <rFont val="Calibri"/>
        <family val="2"/>
        <scheme val="minor"/>
      </rPr>
      <t>:</t>
    </r>
  </si>
  <si>
    <t>Überblick und Identifizierung von Stolpersteinen</t>
  </si>
  <si>
    <t>Panoramica e identificazione degli ostacoli</t>
  </si>
  <si>
    <t>Sul lato sinistro, il diagramma mostra visivamente i punti di forza e di debolezza del progetto.</t>
  </si>
  <si>
    <t xml:space="preserve">I seguenti criteri sono identificati come “ostacoli” alla realizzazione di un progetto sostenibile nel suo complesso: </t>
  </si>
  <si>
    <t>Sul lato destro sono elencati i criteri “insufficienti” e gli “ostacoli”.</t>
  </si>
  <si>
    <t>I seguenti criteri sono classificati come “insufficienti” e richiedono miglioramenti per soddisfare i requisiti di sostenibilità:</t>
  </si>
  <si>
    <t>Les critères suivants sont considérés comme ''insuffisants'' et nécessitent des améliorations afin de répondre aux exigences de durabilité :</t>
  </si>
  <si>
    <t>Évaluation des domaines, des thèmes et des critères</t>
  </si>
  <si>
    <t>Le diagramme suivant se compose de deux parties.</t>
  </si>
  <si>
    <t>Sur la partie gauche, les évaluations des trois domaines et des thèmes correspondants sont visibles sous forme de barres horizontales.</t>
  </si>
  <si>
    <t>Der ''Pre-Check SNBS 2023.1 Hochbau'' ermöglicht es, innerhalb von nur 30 bis 120 Minuten durch die Beantwortung einfacher Fragen, Aussagen zur Nachhaltigkeit eines Projekts zu erhalten. Dabei werden in einer frühen Phase des Bauvorhabens Stolpersteine identifiziert, welche eine gesamtheitlich genügende Nachhaltigkeitsbewertung gefährden. Verbesserungsmassnahmen können dadurch frühzeitig eingeleitet werden.</t>
  </si>
  <si>
    <t>Bei der erstmaligen Pre-Check-Benutzung kann der kurze Erläuterungstext (Blatt Intro) hilfreich sein.</t>
  </si>
  <si>
    <t>Antworten löschen</t>
  </si>
  <si>
    <t>Supprimer les réponses</t>
  </si>
  <si>
    <t>Eliminare le risposte</t>
  </si>
  <si>
    <t>SNBS-HOCHBAU</t>
  </si>
  <si>
    <t>Version 2023.1</t>
  </si>
  <si>
    <t>SNBS-BÂTIMENT</t>
  </si>
  <si>
    <t>SNBS-EDIFICIO</t>
  </si>
  <si>
    <t>Versione 2023.1</t>
  </si>
  <si>
    <t>Pre-Check SNBS 2023.1 Hochbau</t>
  </si>
  <si>
    <t>Pre-Check SNBS 2023.1 Bâtiment</t>
  </si>
  <si>
    <t>3b</t>
  </si>
  <si>
    <t>Agglomeration &gt; Zentrum (ausserhalb der Agglomeration) &gt; Land</t>
  </si>
  <si>
    <t>Agglomerato &gt; Centro (al di fuori dell'agglomerato) &gt; Campagna</t>
  </si>
  <si>
    <t>Hinweisfeld</t>
  </si>
  <si>
    <t>Campo di note</t>
  </si>
  <si>
    <t>Champ d'indication</t>
  </si>
  <si>
    <t>z. B. Entwicklungskonzepte Stadt/Gemeinde, Gestaltungspläne, regionale oder kantonale Raumordnungskonzepte oder Richtpläne</t>
  </si>
  <si>
    <t>SIA 142:2009 «Ordnung für Architektur- und Ingenieurwettbewerbe», SIA 143:2009 «Ordnung für Architektur- und Ingenieurstudienaufträge»</t>
  </si>
  <si>
    <t>SIA 142:2009 «Règlement des concours d’architecture et d’ingénierie», SIA 143:2009 «Règlement des mandats d’étude parallèles d’architecture et d’ingénierie»</t>
  </si>
  <si>
    <t>SIA 142:2009 “Regolamento dei concorsi d’architettura e d’ingegneria”, SIA 143:2009 “Regolamento dei mandati di studio paralleli d’architettura e d’ingegneria”</t>
  </si>
  <si>
    <t>SIA 144:2013 «Ordnung für Ingenieur- und Architekturleistungsofferten»</t>
  </si>
  <si>
    <t>SIA 144:2013 «Règlement des appels d’offres de prestations d’ingénierie et d’architecture»</t>
  </si>
  <si>
    <t>SIA 144:2013 “Regolamento dei concorsi per prestazioni d’ingegneria e d’architettura”</t>
  </si>
  <si>
    <t>Werden die Potentiale zur stadtklimatischen Nutzung von nahegelegenen Wäldern und Grünflächen analysiert?</t>
  </si>
  <si>
    <t>Sind zielgruppenentsprechende Freiräume zur Erholung (z. B. Aussenräume mit Sitzgelegenheiten, Parkanlagen) im Umfeld oder in der geplanten Liegenschaft vorhanden? (Gehdistanz &lt; 750 m)</t>
  </si>
  <si>
    <t>Sind zielgruppenentsprechende gastronomische Angebote (z. B. Restaurant, Café, Mensa, Take-away) im Umfeld oder in der geplanten Liegenschaft vorhanden? (Gehdistanz &lt; 750 m)</t>
  </si>
  <si>
    <t>Ist die schulische Tagesstruktur (Tagesschule, Mittagstisch, Hort) für die Nutzenden mittels sicheren, kurzen Wegen (sichere Trottoir-Gehdistanz &lt; 500 m) erreichbar?</t>
  </si>
  <si>
    <t>Est-ce que la structure scolaire de jour (école de jour, repas de midi, garderie) est accessible aux usagers par des chemins sûrs et courts (distance de trottoir sûre &lt; 500 m) ?</t>
  </si>
  <si>
    <t>Sind soziale Infrastrukturen (z. B. Kindergärten, Schulen, Kinderkrippen, Quartierzentren) im Umfeld oder in der geplanten Liegenschaft vorhanden? (Gehdistanz &lt; 750 m)</t>
  </si>
  <si>
    <t>Sono disponibili strutture di ristorazione adatte al gruppo target (ad es. ristorante, caffè, mensa, take-away) nelle vicinanze o nell'immobile in progetto? (distanza a piedi &lt; 750 m)</t>
  </si>
  <si>
    <t>Nel quartiere o nell'immobile in progetto sono disponibili spazi aperti adatti al gruppo target per la ricreazione (ad es. aree esterne con posti a sedere, parchi)? (distanza a piedi &lt; 750 m)</t>
  </si>
  <si>
    <t>Le infrastrutture sociali (ad es. asili, scuole, nidi, centri di quartiere) sono disponibili nell'area circostante o nell'immobile in progetto? (distanza a piedi &lt; 750 m)</t>
  </si>
  <si>
    <t>Existe-t-il des offres gastronomiques adaptées au groupe cible (p. ex. restaurant, café, restaurant universitaire, take-away) dans les environs ou dans l'immeuble prévu ? (Distance à pied &lt; 750 m)</t>
  </si>
  <si>
    <t>Existe-t-il des espaces de détente adaptés au groupe cible (p. ex. espaces extérieurs avec sièges, parcs) dans les environs ou dans l'immeuble prévu ? (distance à pied &lt; 750 m)</t>
  </si>
  <si>
    <t>Existe-t-il des infrastructures sociales (p. ex. jardins d'enfants, écoles, crèches, centres de quartier) dans les environs ou dans l'immeuble prévu ? (distance à pied &lt; 750 m)</t>
  </si>
  <si>
    <t>Sind niederschwellig zugängliche, kühle Innenräume im Projektumfeld vorhanden? (Café, Bar, Gemeinschaftszentrum, Jugendzentrum o.ä.?) (Distanz &lt; 2 km zu Fuss))</t>
  </si>
  <si>
    <t>Sind zugängliche Wasseranlagen (öffentliche Schwimmbäder, Seen, Flüsse, Sprühnebelanlagen, Wasserspielplätze), welche Bademöglichkeiten oder körperliche Abkühlung anbieten im Projektumfeld vorhanden? (Distanz &lt; 3 km zu Fuss)</t>
  </si>
  <si>
    <t>Ci sono spazi interni facilmente accessibili e freschi nell'ambiente del progetto? (Caffè, bar, centro sociale, centro giovanile o simili?) (Distanza &lt; 2 km a piedi)</t>
  </si>
  <si>
    <t>SIA 500:2009 «Hindernisfreie Bauten»</t>
  </si>
  <si>
    <t>SIA 500:2009 «Constructions sans obstacles»</t>
  </si>
  <si>
    <t>SIA 500:2009 “Costruzioni senza ostacoli”</t>
  </si>
  <si>
    <t>SIA 180:2014 «Wärmeschutz, Feuchteschutz und Raumklima in Gebäuden»</t>
  </si>
  <si>
    <t>SIA 180:2014 «Protection thermique, protection contre l'humidité et climat intérieur dans les bâtiments»</t>
  </si>
  <si>
    <t>SIA 180:2014 “Isolamento termico, protezione contro l’umidità e clima interno degli edifici”</t>
  </si>
  <si>
    <t xml:space="preserve">Ist an heissen Tagen eine Abführung der Wärmelasten aus den Innenräumen möglich (z. B. durch natürliche Nachtauskühlung, Free-Cooling oder Geocooling)? </t>
  </si>
  <si>
    <t>Ist der Schallschutz der Gebäudehülle und zwischen den Nutzungseinheiten unproblematisch oder werden entsprechende Massnahmen getroffen (z. B. schalldämmende Fenster und Türen)?</t>
  </si>
  <si>
    <t>Werden Anforderungen an die Raumakustik frühzeitig thematisiert und formuliert? (z. B. in Anlehnung an die aktuell gültigen Anforderungen der SUVA bzw. ArGV3)</t>
  </si>
  <si>
    <t>Werden Anforderungen an die Raumakustik frühzeitig thematisiert und formuliert? (z. B. in Anlehnung an die Norm SIA 181 oder die DIN-Norm 18041:2016)</t>
  </si>
  <si>
    <t>Sind die Fenster so gestaltet und positioniert, dass sie einen guten Kompromiss zwischen Hitzeschutz und ausreichendem Tageslichteinfall bieten 
(z. B. Überstände bei Südfenstern, Seitenblenden bei Ost- und Westfenstern, Lichtbänder mit geringer Sturzhöhe, Vermeidung von Oblichtern und raumhohen Fenstern auf der Südseite)?</t>
  </si>
  <si>
    <t>Wird der Boden gegen unbeheizte Räume oder gegen das Erdreich konsequent und gut gedämmt? (Einhaltung der U-Werte der Einzelbauteile um 
10 % besser als die Anforderungen des kantonalen Energiegesetzes)</t>
  </si>
  <si>
    <t>SN/EN 17037:2019 «Tageslicht in Gebäuden»</t>
  </si>
  <si>
    <t>SN EN 17037: 2019 «L’éclairage naturel des bâtiments»</t>
  </si>
  <si>
    <t>SN EN 17037: 2019 “Luce naturale negli edifici”</t>
  </si>
  <si>
    <t>SIA 181:2006 «Schallschutz im Hochbau»
SIA 181:2020 «Schallschutz im Hochbau»</t>
  </si>
  <si>
    <t>SIA 181:2006 «Protection contre le bruit dans le bâtiment»
SIA 181:2020 «Protection contre le bruit dans le bâtiment»</t>
  </si>
  <si>
    <t>SIA 181:2006 “La protezione dal rumore nelle costruzioni edilizie”
SIA 181:2020 “La protezione dal rumore nelle costruzioni edilizie”</t>
  </si>
  <si>
    <t>Werden Lebenszykluskosten (Erstellungskosten, Verwaltungs- und Betriebskosten, Instandsetzungskosten) für das Gebäude ermittelt oder mit expliziten Tools quantitativ oder qualitativ nachgewiesen?</t>
  </si>
  <si>
    <t xml:space="preserve">I costi del ciclo di vita dell'edificio (costi di costruzione, di gestione e di esercizio e di manutenzione) sono determinati o verificati quantitativamente o qualitativamente con strumenti espliciti? </t>
  </si>
  <si>
    <t>z.B. IFMA-Tool, SNBS-Hilfstool 211</t>
  </si>
  <si>
    <t>p. ex. outil IFMA, outil d’aide SNBS 211</t>
  </si>
  <si>
    <t>p. es. strumento IFMA, strumento di supporto SNBS 211</t>
  </si>
  <si>
    <t>Werden die Kosten des weiteren Lebenszyklus für das Projekt (qualitative Beurteilung) angemessen betrachtet? (Mindestens 50 Jahre)</t>
  </si>
  <si>
    <t>SIA 113:2010 «FM-gerechte Bauplanung und Realisierung»</t>
  </si>
  <si>
    <t>SIA 113:2010 «FM adapté à la planification et à la réalisation de constructions»</t>
  </si>
  <si>
    <t>SIA 113:2010 “Progettazione e realizzazione secondo le regole del FM”</t>
  </si>
  <si>
    <t xml:space="preserve">Wird der Standort hinsichtlich Gefahren durch Erdbeben oder Naturereignisse mit themenspezifischen Online-Tools analysiert und werden entsprechende Massnahmen zum Schutz des Gebäudes und der Nutzenden eingeleitet, um die Schutzziele gemäss SIA 261 zu erfüllen? </t>
  </si>
  <si>
    <t>SIA 261:2020 «Einwirkungen auf Tragwerke»
SIA 261/1:2020 «Einwirkungen auf Tragwerke − Ergänzende Festlegungen»
Online-Bewertungstool</t>
  </si>
  <si>
    <t>SIA 261:2020 «Actions sur les structures porteuses»
SIA 261/1:2020 «Actions sur les structures porteuses − Spécifications complémentaires»
Outil d’évaluation en ligne</t>
  </si>
  <si>
    <t>SIA 261:2020 “Azioni sulle strutture portanti”
SIA 261/1:2020 “Azioni sulle strutture portanti − Disposizioni complementari”
Strumento di valutazione online</t>
  </si>
  <si>
    <t>Stimmt folgende Aussage? ''Die Bauparzelle ist nicht vom städtischen Wärmeinseleffekt betroffen oder das Bauvorhaben trägt zur Abkühlung des Quartiers bei''</t>
  </si>
  <si>
    <t>SIA 2032:2020 «Graue Energie − Ökobilanzierung für die Erstellung von Gebäuden»</t>
  </si>
  <si>
    <t>SIA 2032:2020 «L’énergie grise − Établissement du bilan écologique pour la construction de bâtiments»</t>
  </si>
  <si>
    <t>SIA 2032:2020 “Energia grigia − Bilancio ecologico per la costruzione di edifici”</t>
  </si>
  <si>
    <t>SIA 2040:2017 «SIA Effizienzpfad Energie»</t>
  </si>
  <si>
    <t>SIA 2040:2017 «La voie SIA vers l’efficacité énergétique»</t>
  </si>
  <si>
    <t>SIA 2040:2017 “La via SIA verso l'efficienza energetica”</t>
  </si>
  <si>
    <t>Info [2], [4] &amp; [7]</t>
  </si>
  <si>
    <t>SIA 2040:2017 “La via SIA verso l'efficienza energetica”
Strumento dal quaderno tecnico SIA 2039:2016 “Mobilità – Fabbisogno energetico in funzione dell’ubicazione dell’edificio”</t>
  </si>
  <si>
    <t>SIA 2040:2017 «La voie SIA vers l’efficacité énergétique»
Outil relatif au cahier technique SIA 2039 SIA 2039:2016 «Mobilité – Consommation énergétique des bâtiments en fonction de leur localisation»</t>
  </si>
  <si>
    <t>SIA 2040:2017 «SIA Effizienzpfad Energie»
Tool zum Merkblatt SIA 2039:2016 «Mobilität – Energiebedarf in Abhängigkeit vom Gebäudestandort»</t>
  </si>
  <si>
    <t>SIA 431:2022 «Entwässerung von Baustellen»</t>
  </si>
  <si>
    <t>SIA 431:2022 «Entwässerung von Baustellen» (Non esiste una versione italiana)</t>
  </si>
  <si>
    <t>SIA 431:2022 «Traitement et évacuation des eaux de chantier»</t>
  </si>
  <si>
    <t>SIA 2048:2015 «Energetische Betriebsoptimierung»</t>
  </si>
  <si>
    <t>SIA 2048:2015 «Optimisation énergétique de l'exploitation»</t>
  </si>
  <si>
    <t>SIA 2048:2015 “Ottimizzazione energetica dell‘esercizio”</t>
  </si>
  <si>
    <t>Bestehen für Autoparkplätze ähnliche Distanzen wie zu ÖV-Haltestellen?</t>
  </si>
  <si>
    <t>Le distanze dai parcheggi sono simili a quelle dalle fermate del trasporto pubblico?</t>
  </si>
  <si>
    <t>Existe-t-il des distances similaires entre les places de stationnement pour voitures et les arrêts de transports publics ?</t>
  </si>
  <si>
    <t>Kann das Niederschlagswasser auf der Parzelle und Umgebungsflächen in den Untergrund geführt werden? (z. B. oberirdisch über begrünte Flächen, humusierte Mulden oder unterirdisch über Rigolen, Regenrückhaltebecken)</t>
  </si>
  <si>
    <t>K312/322</t>
  </si>
  <si>
    <t>Mittel +</t>
  </si>
  <si>
    <t>Mittel -</t>
  </si>
  <si>
    <t>Tabelle 11: Abbildung Klima-Check</t>
  </si>
  <si>
    <t>.</t>
  </si>
  <si>
    <t>Ordnung für Architektur- und Ingenieurstudienaufträge</t>
  </si>
  <si>
    <t>Ordnung für Architektur- und Ingenieurwettbewerbe</t>
  </si>
  <si>
    <t>SIA 142:2009</t>
  </si>
  <si>
    <t>SIA 143:2009</t>
  </si>
  <si>
    <t>Ordnung für Ingenieur- und Architekturleistungsofferten</t>
  </si>
  <si>
    <t>SIA 144:2013</t>
  </si>
  <si>
    <t>http://shop.sia.ch/normenwerk/ingenieur/142_2009_d/D/Product</t>
  </si>
  <si>
    <t>http://shop.sia.ch/normenwerk/ingenieur/sia%20143/d/D/Product</t>
  </si>
  <si>
    <t>http://shop.sia.ch/normenwerk/architekt/144_2022_d/D/Product</t>
  </si>
  <si>
    <t xml:space="preserve">SIA 180:2014 </t>
  </si>
  <si>
    <t xml:space="preserve">SIA 113:2010 </t>
  </si>
  <si>
    <t xml:space="preserve">SIA 261:2020 </t>
  </si>
  <si>
    <t>Graue Energie − Ökobilanzierung für die Erstellung von Gebäuden</t>
  </si>
  <si>
    <t xml:space="preserve">SIA 2032:2020 </t>
  </si>
  <si>
    <t>SIA Effizienzpfad Energie</t>
  </si>
  <si>
    <t xml:space="preserve">SIA 2040:2017 </t>
  </si>
  <si>
    <t xml:space="preserve">SIA 431:2022 </t>
  </si>
  <si>
    <t>Energetische Betriebsoptimierung</t>
  </si>
  <si>
    <t xml:space="preserve">SIA 2048:2015 </t>
  </si>
  <si>
    <t>SIA 261/1:2020</t>
  </si>
  <si>
    <t>Einwirkungen auf Tragwerke − Ergänzende Festlegungen</t>
  </si>
  <si>
    <t>Klima Kriterium</t>
  </si>
  <si>
    <t>Prego, selezionare lo strumento</t>
  </si>
  <si>
    <t>Merci de choisir votre outil</t>
  </si>
  <si>
    <t>Bitte ein Tool auswählen</t>
  </si>
  <si>
    <t>K322</t>
  </si>
  <si>
    <t>K312</t>
  </si>
  <si>
    <t>Steht ein gemeinschaftlich nutzbares Raumangebot (z. B. Gemeinschaftsräume, Übungsräume, Werkstätten) für Bewohnende und Externe in Gehdistanz 
(&lt; 5 Min.) oder im Gebäude zur Verfügung?</t>
  </si>
  <si>
    <t>Tabelle 8: Abbildung Gesellschaft Klima-Check</t>
  </si>
  <si>
    <t xml:space="preserve">                   &amp; Umweltschutz</t>
  </si>
  <si>
    <t xml:space="preserve">            Salvaguardia delle risorse </t>
  </si>
  <si>
    <t xml:space="preserve">                     e dell’ambiente</t>
  </si>
  <si>
    <t>Tabelle 9: Abbildung Wirtschaft Klima-Check</t>
  </si>
  <si>
    <t>Tabelle 10: Abbildung Umwelt Klima-Check</t>
  </si>
  <si>
    <t>Gesamtnote</t>
  </si>
  <si>
    <t>Note globale</t>
  </si>
  <si>
    <t>Voto complessivo</t>
  </si>
  <si>
    <t>Tabelle 13: Spinnendiagramm Klima-Check</t>
  </si>
  <si>
    <t>Tabelle 13: Spinnendiagramm Klima-Check Klimaschutz</t>
  </si>
  <si>
    <t>Tabelle 13: Spinnendiagramm Klima-Check Klimaanpassung</t>
  </si>
  <si>
    <t>Wir danken Ihnen für die Benutzung des Pre-Checks 2023.1 Hochbau und hoffen, Sie bei der Realisierung eines rundum nachhaltigen Projekts unterstützen zu können.
Um Rückmeldungen und Hinweise zur Verbesserung des Pre-Check (info@nnbs.ch) sind wir stets dankbar.</t>
  </si>
  <si>
    <t>Nous vous remercions pour l'utilisation du Pre-Check SNBS 2023.1 Bâtiment et nous espérons avoir pu vous soutenir dans la réalisation d'un projet durable.
Nous serions ravis de tenir compte de toutes suggestions et remarques concernant l'amélioration du Pre-Check (info@nnbs.ch).</t>
  </si>
  <si>
    <t>Vi ringraziamo per aver utilizzato il Pre-Check 2023.1 Edificio e speriamo di potervi supportare nella realizzazione di un progetto sostenibile a tutto tondo.
Siamo sempre grati di ricevere feedback e suggerimenti per migliorare il Pre-Check (info@nnbs.ch).</t>
  </si>
  <si>
    <t>Klimaschutz</t>
  </si>
  <si>
    <t>Klimaanpassung</t>
  </si>
  <si>
    <t>Protection du climat</t>
  </si>
  <si>
    <t>Adaptation au changement climatique</t>
  </si>
  <si>
    <t>Protezione del clima</t>
  </si>
  <si>
    <t>Adattamento al clima</t>
  </si>
  <si>
    <t>Die erste Abbildung, steht die Bewertung der einzelnen Themen in Form von einem Spinnendiagram dar. Dieses ermöglicht die rasche Identifizierung von Stärken und Schwächen innerhalb des Projekts, aber auch den visuellen Vergleich zwischen Projektvarianten oder unterschiedlichen Projekten.</t>
  </si>
  <si>
    <t>Règlement des concours d’architecture et d’ingénierie</t>
  </si>
  <si>
    <t>Règlement des mandats d’étude parallèles d’architecture et d’ingénierie</t>
  </si>
  <si>
    <t>Règlement des appels d’offres de prestations d’ingénierie et d’architecture</t>
  </si>
  <si>
    <t>Regolamento dei concorsi d’architettura e d’ingegneria</t>
  </si>
  <si>
    <t>Regolamento dei mandati di studio paralleli d’architettura e d’ingegneria</t>
  </si>
  <si>
    <t>Regolamento dei concorsi per prestazioni d’ingegneria e d’architettura</t>
  </si>
  <si>
    <t>SIA 180:2014</t>
  </si>
  <si>
    <t>SIA 181:2006</t>
  </si>
  <si>
    <t>SIA 181:2020</t>
  </si>
  <si>
    <t>SIA 181:20020</t>
  </si>
  <si>
    <t>SIA 113:2010</t>
  </si>
  <si>
    <t>https://shop.sia.ch/normenwerk/architekt/sia%20113/d/D/Product</t>
  </si>
  <si>
    <t>Actions sur les structures porteuses − Spécifications complémentaires</t>
  </si>
  <si>
    <t>SIA 261:2020</t>
  </si>
  <si>
    <t>Azioni sulle strutture portanti − Disposizioni complementari</t>
  </si>
  <si>
    <t>SIA 380/1:2016</t>
  </si>
  <si>
    <t>Klimatisierte Gebäude − Leistungs- und Energiebedarf</t>
  </si>
  <si>
    <t>SIA 387/4:2023</t>
  </si>
  <si>
    <t>Besoins de chaleur pour le chauffage</t>
  </si>
  <si>
    <t>Edifici climatizzati − Fabbisogno di potenza e di energia</t>
  </si>
  <si>
    <t>Traitement et évacuation des eaux de chantier</t>
  </si>
  <si>
    <t>SIA 431:2022</t>
  </si>
  <si>
    <t>Entwässerung von Baustellen (Non esiste una versione italiana)</t>
  </si>
  <si>
    <t>SIA 500:2009</t>
  </si>
  <si>
    <t>Hindernisfreie Bauten</t>
  </si>
  <si>
    <t>SIA 2039:2016</t>
  </si>
  <si>
    <t>Mobilität – Energiebedarf in Abhängigkeit vom Gebäudestandort</t>
  </si>
  <si>
    <t>Mobilité – Consommation énergétique des bâtiments en fonction de leur localisation</t>
  </si>
  <si>
    <t>SIA 2032:2020</t>
  </si>
  <si>
    <t>La voie SIA vers l’efficacité énergétique</t>
  </si>
  <si>
    <t>SIA 2040:2017</t>
  </si>
  <si>
    <t>Optimisation énergétique de l'exploitation</t>
  </si>
  <si>
    <t>SIA 2048:2015</t>
  </si>
  <si>
    <t>Mobilità – Fabbisogno energetico in funzione dell’ubicazione dell’edificio</t>
  </si>
  <si>
    <t>Ottimizzazione energetica dell‘esercizio</t>
  </si>
  <si>
    <t>https://shop.sia.ch/normenwerk/architekt/180_2014_d/D/Product</t>
  </si>
  <si>
    <t>https://shop.sia.ch/normenwerk/architekt/181_2020_d/D/Product</t>
  </si>
  <si>
    <t>https://shop.sia.ch/normenwerk/architekt/181_2006_d/D/Product</t>
  </si>
  <si>
    <t>https://shop.sia.ch/normenwerk/architekt/261_2020_d/D/Product</t>
  </si>
  <si>
    <t>https://shop.sia.ch/normenwerk/ingenieur/261-1_2020_d/D/Product</t>
  </si>
  <si>
    <t>https://shop.sia.ch/normenwerk/architekt/380-1_2016_d/D/Product</t>
  </si>
  <si>
    <t>SIA 382/1:2011</t>
  </si>
  <si>
    <t>Norme SIA 382/1</t>
  </si>
  <si>
    <t>Norma SIA 382/1</t>
  </si>
  <si>
    <t>https://shop.sia.ch/normenwerk/architekt/382-1_2014_d/D/Product</t>
  </si>
  <si>
    <t>https://shop.sia.ch/normenwerk/architekt/387-4_2023_d/D/Product</t>
  </si>
  <si>
    <t>https://shop.sia.ch/normenwerk/ingenieur/431_2022_d/D/Product</t>
  </si>
  <si>
    <t>https://shop.sia.ch/normenwerk/architekt/sia%20500/d/D/Product</t>
  </si>
  <si>
    <t>https://shop.sia.ch/normenwerk/architekt/2032_2020_d/D/Product</t>
  </si>
  <si>
    <t>https://shop.sia.ch/normenwerk/architekt/2039_2016_d/D/Product</t>
  </si>
  <si>
    <t>https://shop.sia.ch/normenwerk/architekt/2040_2017_d/D/Product</t>
  </si>
  <si>
    <t>https://shop.sia.ch/normenwerk/architekt/sia%202048/d/D/Product</t>
  </si>
  <si>
    <t>Kriterien Abkurz.</t>
  </si>
  <si>
    <t>: Messgrösse 4</t>
  </si>
  <si>
    <t>: Messgrössen 2, 3</t>
  </si>
  <si>
    <t>: Messgrössen 1, 2</t>
  </si>
  <si>
    <t>: Messgrösse 1</t>
  </si>
  <si>
    <t>: Messgrössen 2, 5</t>
  </si>
  <si>
    <t>: Messgrössen 2, 3, 5</t>
  </si>
  <si>
    <t>: Grandeur mesurée 4</t>
  </si>
  <si>
    <t>: Grandeur mesurées 2, 3</t>
  </si>
  <si>
    <t>: Grandeur mesurées 1, 2</t>
  </si>
  <si>
    <t>: Grandeur mesurée 1</t>
  </si>
  <si>
    <t>: Grandeur mesurées 2, 3, 5</t>
  </si>
  <si>
    <t>: Grandeur mesurées 2, 5</t>
  </si>
  <si>
    <t>: Parametro 4</t>
  </si>
  <si>
    <t>: Parametro 1</t>
  </si>
  <si>
    <t>Minergie-ECO met à disposition des documents supplémentaires pour les critères 146, 311 et 321  à l'adresse suivante :</t>
  </si>
  <si>
    <t>Bei allen SNBS-Messgrössen, die auf Minergie-ECO verweisen, wird die 20/80-Regel gemäss Vorgabenkatalog von Minergie-ECO übernommen. Bei allen übrigen Messgrössen müssen die Anforderungen zu 100 % umgesetzt werden, um als «vollständig umgesetzt» zu gelten.</t>
  </si>
  <si>
    <t>Bei den Kriterien 146, 311 und 321 stellt Minergie ECO weiterführende Dokumente unter folgender Adresse zur Verfügung:</t>
  </si>
  <si>
    <t>Per i criteri 146, 311 e 321, Minergie ECO fornisce ulteriori documenti al seguente indirizzo:</t>
  </si>
  <si>
    <t>Pour toutes les grandeurs mesurées du SNBS renvoyant à Minergie-ECO, la règle des 20/80 selon le Catalogue de prescriptions Minergie-ECO est reprise. Pour toutes les autres grandeurs mesurées, les exigences doivent être mises en oeuvre à 100 % pour être considérées comme «complètement mises en oeuvre».</t>
  </si>
  <si>
    <t>https://connect.snv.ch/de/sn-en-17037a1-2021</t>
  </si>
  <si>
    <t>IFMA-Tool</t>
  </si>
  <si>
    <t>Strumento IFMA</t>
  </si>
  <si>
    <t>Outil IFMA</t>
  </si>
  <si>
    <t>Lebenszykluskosten-Ermittlung von Immobilien</t>
  </si>
  <si>
    <t>IFMA-Tool. Teil 1 und 2</t>
  </si>
  <si>
    <t>www.ifma.ch/de/produkte-standards/lebenszykluskosten</t>
  </si>
  <si>
    <t>Outil IFMA. Parties 1 et 2</t>
  </si>
  <si>
    <t>Coûts du cycle de vie des biens immobiliers</t>
  </si>
  <si>
    <t>Strumento IFMA. Parte 1 e 2</t>
  </si>
  <si>
    <t>Determinazione dei costi del ciclo di vita degli immobili (in tedesco, francese e inglese)</t>
  </si>
  <si>
    <t>www.schutz-vor-naturgefahren.ch/snbs</t>
  </si>
  <si>
    <t>Schutz vor Naturgefahren</t>
  </si>
  <si>
    <t>Protection contre les dangers naturels</t>
  </si>
  <si>
    <t>Strumento di valutazione online</t>
  </si>
  <si>
    <t>Protezione dai rischi naturali</t>
  </si>
  <si>
    <t>Online-Bewertungstool</t>
  </si>
  <si>
    <t>SNBS Critère 211 Dangers naturels</t>
  </si>
  <si>
    <t>Outil d’évaluation en ligne</t>
  </si>
  <si>
    <t>SNBS Criterio 211 Rischi naturali</t>
  </si>
  <si>
    <t>SNBS Kriterium 221 Naturgefahren</t>
  </si>
  <si>
    <t>Info [2] &amp; [4]</t>
  </si>
  <si>
    <t>Info [5] &amp; [7]</t>
  </si>
  <si>
    <t>Die Daten sind auf dem Geoportal des Bundes verfügbar:</t>
  </si>
  <si>
    <t>I dati sono disponibili sul geoportale della Confederazione:</t>
  </si>
  <si>
    <t>Les données peuvent être trouvées sur le géoportail fédéral :</t>
  </si>
  <si>
    <t>Anwendungsmpfehlung der SIA für die Nutzung der Klimadatensätzen für die Zukunft</t>
  </si>
  <si>
    <t>Zur Anwendungsempfehlung</t>
  </si>
  <si>
    <t>Vers la recommandation SIA</t>
  </si>
  <si>
    <t>Recommandation d'application de la SIA pour l'utilisation des jeux de données climatiques pour l'avenir (momentanément en allemand uniquement) :</t>
  </si>
  <si>
    <t>Alla raccomandazione per l'applicazione</t>
  </si>
  <si>
    <t>Info [2] &amp; [8]</t>
  </si>
  <si>
    <t>Tabelle 12: Abbildung Bereiche Klimacheck</t>
  </si>
  <si>
    <t>Kriterium, zu welchem die Frage einen Bezug hat</t>
  </si>
  <si>
    <t>Critère auquel la question se rapporte</t>
  </si>
  <si>
    <t>Criterio a cui si riferisce la domanda</t>
  </si>
  <si>
    <t>Negative oder nicht eindeutige Antworten führen zu Zusatzfragen, wie im folgenden Beispiel:</t>
  </si>
  <si>
    <t>Les réponses négatives ou ambigües aboutent à des questions secondaires, comme dans l'exemple suivant :</t>
  </si>
  <si>
    <t>Das Kriterium ändert sich nicht, zur Bewertung des Kriteriums sind zusätzliche Fragen erforderlich.</t>
  </si>
  <si>
    <t>Le critère ne change pas, des questions supplémentaires sont nécessaires pour évaluer le critère.</t>
  </si>
  <si>
    <t>Il criterio non cambia, sono necessarie ulteriori domande per valutare il criterio.</t>
  </si>
  <si>
    <t>Bei einer negativen oder nicht eindeutigen Antwort werden keine Punkte vergeben. Solche können jedoch anhand der Zusatzfragen gesammelt werden, im Idealfall auch bis zu einer 100 %igen Bewertung.</t>
  </si>
  <si>
    <t>Non vengono assegnati punti per una risposta negativa o ambigua. Tuttavia, tali punti possono essere raccolti utilizzando le domande aggiuntive, idealmente fino a un punteggio del 100%.</t>
  </si>
  <si>
    <t>Bei der ersten Frage wird durch positive Antwort 100 % der Bewertung erreicht. Das Kriterium 111 wird im Pre-Check somit als unproblematisch beurteilt.</t>
  </si>
  <si>
    <t>100 % des exigences ont été remplies pour la première question. Le critère 111 est considéré comme non problématique par le Pre-Check.</t>
  </si>
  <si>
    <t xml:space="preserve">Eine negative Antwort ergibt keine Punkte. </t>
  </si>
  <si>
    <t xml:space="preserve">Une réponse négative ne rapporte aucun point. </t>
  </si>
  <si>
    <t xml:space="preserve">Pour le critère 112, les réponses ''oui'' , ''je ne sais pas'' et "non" aux questions secondaires déterminent le pourcentage de réalisation du critère : dans l'exemple, 43 %. Le score lorsque toutes les réponses sont "Oui" est de 100 %, tandis que si toutes les réponses sont "Je ne sais pas", 30 % du score possible est obtenu. Une réponse négative ne rapporte aucun point. </t>
  </si>
  <si>
    <t xml:space="preserve">Beim Krieterium 112 wird durch die Antworten ''Ja'', ''Weiss nicht'' und ''Nein" der Zusatzfragen der prozentuale Erfüllungsgrad beim Kriterium bestimmt: im Beispiel 43 %. Die Summe von ''ja''-Antworten ergibt jeweils 100 %, ''weiss nicht''-Antworten ergeben summiert 30 % der Erfüllungsgrads. Eine negative Antwort ergibt keine Punkte. </t>
  </si>
  <si>
    <t>Bei Fragen 2. Grades ergibt eine nicht eindeutige Antwort einen Erfüllungsgrad von 30 %.</t>
  </si>
  <si>
    <t>Pour les questions du 2e degré, une réponse non concluante donne un taux de réalisation de 30 %.</t>
  </si>
  <si>
    <t>Per le domande di 2° grado, una risposta non chiara dà un grado di realizzazione del 30%.</t>
  </si>
  <si>
    <t>Wettbewerb und Planerwahlverfahren</t>
  </si>
  <si>
    <t>Tragen die Anordnung der Gebäudegeometrie und die Umgebungsplanung zur Bildung von Kaltluftschneisen und Grünkorridoren bei?</t>
  </si>
  <si>
    <t>Wird die gesetzlich minimal mögliche Parkplatzzahl in ober- oder unterirdischen Gesamtanlagen geplant?</t>
  </si>
  <si>
    <t>Werden Lebensräume für heimische Tierarten in der Umgebung geschaffen und geschützt?</t>
  </si>
  <si>
    <t>Werden mindestens 50 % der Umgebungs- und Dachflächen als naturnahen Lebensräumen gestaltet? (dazu gehören z. B. Gewässer, Hecken, Bäume, artenreiche Wiesen, Ruderalflächen, naturnah begrünte Dachflächen mit mind. 12 cm Substratstärke usw.)</t>
  </si>
  <si>
    <t>Es sind noch Fragen zu beantworten, bitte überprüfen Sie alle Eingabefelder.</t>
  </si>
  <si>
    <t>Il y a encore des questions auxquelles il faut répondre, veuillez vérifier tous les champs de saisie.</t>
  </si>
  <si>
    <t>Ci sono ancora domande a cui rispondere, si prega di controllare tutti i campi di inserimento.</t>
  </si>
  <si>
    <t>Die Kriterien des ''Klima-Checks'' werden mit in der Grafik oben auf dem Blatt ''Check'' sowie auf dem Blatt ''Results'' angezeigt.</t>
  </si>
  <si>
    <t>Les critères du ''Check Climat'' seront affichés avec la structure suivante en haut de la fiche ''Check'' ainsi que dans la fiche ''Results''.</t>
  </si>
  <si>
    <t>I criteri del ''Check Clima'' sono visualizzati nel grafico in cima alle foglio ''Check'' e nel foglio ''Risultati''.</t>
  </si>
  <si>
    <t>KA - Klimaanpassung</t>
  </si>
  <si>
    <t>KS - Klimaschutz</t>
  </si>
  <si>
    <t>Ja</t>
  </si>
  <si>
    <t>KA/KS</t>
  </si>
  <si>
    <t>Thema KA</t>
  </si>
  <si>
    <t>Thema KS</t>
  </si>
  <si>
    <t xml:space="preserve">Die Struktur des ''Klima-Checks'' basiert auf den SNBS-Kriterien. Einige dieser Kriterien werden als Transversalthemen zu Klimaschutz und Klimaanpassung unverändert übernommen. Zusätzlich werden neue klimarelevante Fragen gestellt. Kriterien, deren Ziele nicht direkt mit dem Klimawandel in Verbindung stehen, werden in der Auswertung des Klima-Check nicht berücksichtigt. 
Insgesamt werden im ''Klima-Check'' 36 klimarelevante Kriterien aus 10 Themen bewertet:  </t>
  </si>
  <si>
    <t>KA</t>
  </si>
  <si>
    <t>KS</t>
  </si>
  <si>
    <t>-</t>
  </si>
  <si>
    <t>Einleitung wiederholen</t>
  </si>
  <si>
    <t>Ripetere l'introduzione</t>
  </si>
  <si>
    <t>Répéter l'introduction</t>
  </si>
  <si>
    <t>Stehen beim Bauvorhaben gemeinschaftliche, niederschwellig zugängliche Abkühlungsangebote im Innen- und Aussenbereich mit angemessener Infrastruktur 
(z. B. Beschattung, Möblierung) zur Verfü-gung, welche während Hitzeperioden eine hohe Aufenthaltsqualität anbieten?</t>
  </si>
  <si>
    <t>Transversale Kriterien aus dem SNBS 2023.01 Hochbau</t>
  </si>
  <si>
    <t>Critères transversaux SNBS 2023.01 Batîment</t>
  </si>
  <si>
    <t>Transversale Themen</t>
  </si>
  <si>
    <t>Transv. Th.</t>
  </si>
  <si>
    <t>Transv. Bereich</t>
  </si>
  <si>
    <t>Der Standard Nachhaltiges Bauen Schweiz SNBS Hochbau ist der erste umfassende und zertifizierungsfähige Standard für nachhaltige Gebäude in der Schweiz. Er basiert auf der Nachhaltigkeitsstrategie des Bundesrats und soll einen Betrag zur Klimapolitik leisten.</t>
  </si>
  <si>
    <t>Ulteriori informazioni sono disponibili nella scheda ''Info'' del menu precedente o direttamente nella descrizione dei criteri SNBS.</t>
  </si>
  <si>
    <t>Links: Kriterien mit Zusammenhang zur Frage
Rechts: [nummerierter] Verweis auf ''Info''</t>
  </si>
  <si>
    <t>Falls nötig, [nummerierter] Verweis auf ''Info''</t>
  </si>
  <si>
    <t>Weitere Informationen finden Sie im ''Info''-Blatt im Menü oben, oder direkt im SNBS-Kriterienbeschrieb.</t>
  </si>
  <si>
    <t>Eine positive Antwort ergibt meistens 100 % in der Bewertung für das entsprechenden Kriterium.</t>
  </si>
  <si>
    <t>Una risposta positiva comporta di solito un punteggio del 100% per il criterio corrispondente.</t>
  </si>
  <si>
    <t>Der mittlere Teil zeigt die Bewertung für jedes Kriterium wie vorgängig erläutert.
(Stolperstein = rot, umrahmt und in Fettschrift / Ungenügend = rot / Genügend = grün / Gut = grün, durchgestrichen und in Fettschrift)</t>
  </si>
  <si>
    <t>La sezione centrale mostra la valutazione di ciascun indicatore, come spiegato sopra.
(Ostacolo = rosso, incorniciato e in grassetto / Insufficiente = rosso / Sufficiente = verde / Buono = verde, barrato e in grassetto)”.</t>
  </si>
  <si>
    <t>Im Rahmen der Zertifizierung wird jedes der 35 Kriterien mit einer Note von 1 bis 6 bewertet. Die Gesamtnote für ein Projekt entspricht dem arithmetischen Mittel aller Kriterien. Teilnoten werden für die drei Bereiche ''Gesellschaft'', ''Wirtschaft'' und ''Umwelt'' ausgewiesen, sind aber rein informativ. Folgende Auszeichnungen können erreicht werden: ''Platin'' (bei einer Gesamtnote zwischen 5.5 und 6), ''Gold'' (5 bis 5.4) und ''Silber'' (4 bis 4.9).</t>
  </si>
  <si>
    <t>Pro Bereich (Gesellschaft, Wirtschaft und Umwelt) darf bei Neubauten maximal ein Kriterium ungenügend sein. Mit bis zu zwei ungenügenden Noten kann jedoch bestenfalls die Stufe ''Gold'' erreicht werden, mit drei ungenügenden Noten nur noch die Stufe ''Silber''. Die Stufe "Platin" kann mit ungenügenden Noten nicht erreicht werden.</t>
  </si>
  <si>
    <t>Allgemeine Hinweise: Sie können das Menü und die Kriterienliste oben jederzeit ein- oder ausblenden.
In der Hilfsspalte im rechten Bereich können werden Hilfswerkzeuge und interessante Links zu den einzelnen Kriterien angezeigt.
Wenn Sie nicht den gesamten Text einer Frage lesen können, versuchen Sie im Excel, die Zoomeinstellung des Fensters anzupassen.</t>
  </si>
  <si>
    <t>Die Berechnung des Erfüllungsgrads ist mit derjenigen beim ''Pre-Check'' vergleichbar und wurde im Abschnitt ''Bewertungsmechanismus'' detailliert erklärt.</t>
  </si>
  <si>
    <t>Versuchen Sie bei der Bearbeitung des Fragenkatalogs möglichst spontane Antworten zu geben. Wo Sie sich nicht sicher sind, wählen Sie einfach die Option «weiss nicht». Solche Antworten werden entsprechend bewertet oder führen zu zusätzlichen spezifischeren Fragen zum Thema.</t>
  </si>
  <si>
    <t>Le domande aggiuntive del ''Check Clima'' sono numerate in base ai criteri corrispondenti ed etichettate con una ''C''.</t>
  </si>
  <si>
    <t>Le illustrazioni del registro dei risultati riassumono la valutazione del progetto e sono composte da due parti:</t>
  </si>
  <si>
    <t>I criteri insoddisfacenti e gli ''ostacoli'' sono elencati in modo specifico qui di seguito, suddivisi nelle rispettive aree.</t>
  </si>
  <si>
    <t>In diesem Register finden Sie nützliche Zusatzinformationen zu den Kriterien und zur Fragenbeantwortung. Die Nummerierung entspricht derjenigen in der Hilfsspalte ganz rechts im Register "Check".</t>
  </si>
  <si>
    <t>Bei ''Minergie''-Kriterien wird wie folgt eine Note automatisch vergeben:</t>
  </si>
  <si>
    <t>Arbeitsgesetz und Verordnungen</t>
  </si>
  <si>
    <t>Überschreitet der geschätzte Gesamtwert (Hoch- und Tiefbau exkl. Land, Honorare und MwSt.) eines Bauwerks 8.7 Mio. CHF, müssen die Aufträge im Staatsvertragsbereich öffentlich ausgeschrieben werden. Dann kann die lokale Beschaffung aus Gleichbehandlungsgründen nur bedingt gesteuert werden: Sofern eine Bauleistung, die unter die sogenannte «Bagatellklausel» fällt (Art. 16 Abs. 4 BöB/IVöB 2019), beschafft werden soll, so kann diese je nach Auftragswert (&lt; 2 Mio. CHF) im Nicht- Staatsvertragsbereich im offenen/selektiven oder im Einladungs- beziehungsweise dem freihändigen Verfahren vergeben werden.</t>
  </si>
  <si>
    <t>Anwendungsbeispiel: Gesamtwert einer Schulanlage ist 40 Mio. CHF. Hiervon dürfen maximal 20 %, also 8 Mio. CHF, im Nicht-Staatsvertragsbereich vergeben werden. Allerdings müssen die 8 Mio. CHF so aufgeteilt werden, dass kein Einzelauftrag 2.0 Mio. CHF überschreitet. Weitere Anwendungshilfen finden sich im Faktenblatt «Bagatellklausel» der KBOB.</t>
  </si>
  <si>
    <t>Tabelle 8: Abbildung Gesellschaft Transversale Themen</t>
  </si>
  <si>
    <t>ad es. concetti di sviluppo urbano/comunale, piani di progettazione, progetti di pianificazione territoriale regionale o cantonale o piani strutturali</t>
  </si>
  <si>
    <t/>
  </si>
  <si>
    <t>La catégorie d’espace urbain peut être consulté sous :</t>
  </si>
  <si>
    <t>L'introduzione al Pre-check, avviene attraverso domande sulla categorizzazione del progetto di costruzione. I requisiti del progetto possono variare a seconda della risposta data. È quindi necessario differenziare tali domande.</t>
  </si>
  <si>
    <t>A sinistra: Indicatori relativi alla domanda
A destra: riferimento [numerato] all'“Info”</t>
  </si>
  <si>
    <t>&gt; Per l'elenco completo, fare clic qui</t>
  </si>
  <si>
    <t>La tipologia territoriale può essere richiesto sotto:</t>
  </si>
  <si>
    <t>Quelle est la catégorie principale du bâtiment ? (Donner la fonction avec la surface utile la plus élevée le cas échéant)</t>
  </si>
  <si>
    <t>Le projet comporte-t-il des espaces verte, des arbres  et / ou de la végétation en toiture ou en façade ?</t>
  </si>
  <si>
    <t>Commen est assurée la ventilation du bâtiment ? (En cas de systèmes combinés, veuillez choisir l'option avec la plus grande part de surface)</t>
  </si>
  <si>
    <t>Agglomération &gt; Centre (hors de l'agglomération) &gt; Campagne</t>
  </si>
  <si>
    <r>
      <t>Qual è la destinazione d'uso</t>
    </r>
    <r>
      <rPr>
        <sz val="11"/>
        <color rgb="FFFFC000"/>
        <rFont val="Calibri"/>
        <family val="2"/>
        <scheme val="minor"/>
      </rPr>
      <t xml:space="preserve"> </t>
    </r>
    <r>
      <rPr>
        <sz val="11"/>
        <rFont val="Calibri"/>
        <family val="2"/>
        <scheme val="minor"/>
      </rPr>
      <t>principale dell'edificio? (se necessario, riferire la risposta all'area di utilizzo più ampia)</t>
    </r>
  </si>
  <si>
    <t>A quale livello scolastico si intende proporsi? (se necessario, riferire la risposta all'area di utilizzo più ampia)</t>
  </si>
  <si>
    <t>Che classe di collegamento del trasporto pubblico (TP) ha l'immobile?</t>
  </si>
  <si>
    <t>Nel progetto di costruzione è prevista un'area verde (ad esempio sotto forma di spazi verdi, alberi, inverdimento delle facciate e dei tetti)?</t>
  </si>
  <si>
    <t>Quale sistema viene adottato per la ventilazione dell'edificio? (Per i sistemi combinati, selezionare l'opzione con la superficie maggiore)</t>
  </si>
  <si>
    <t>Gli obiettivi individuali (di sostenibilità) sono stati definiti in dettaglio con il committente durante gli studi preliminari (fase 2 del SIA)?</t>
  </si>
  <si>
    <t>Gli obiettivi definiti sono fissati come accordi corrispondenti al capitolato d’oneri all'inizio della Fase 3 del SIA?</t>
  </si>
  <si>
    <t>È stata effettuata un'analisi specifica del progetto di costruzione in relazione al cambiamento climatico e, sulla base di questa, sono stati inseriti nel capitolato d’oneri gli obiettivi di protezione e adattamento al clima?</t>
  </si>
  <si>
    <t>Durante le fasi iniziali di pianificazione (pianificazione strategica, studi preliminari) sono state valutate con dei progettisti specializzati  delle misure di mitigazione del cambiamento climatico specifiche per il progetto di costruzione?</t>
  </si>
  <si>
    <t>Durante le fasi iniziali di pianificazione (pianificazione strategica) sono state valutate misure di adattamento al clima specifiche per il progetto di costruzione coinvolgendo dei progettisti specializzati?</t>
  </si>
  <si>
    <t>L'edificio è caratterizzato da un elevato livello di funzionalità, ad esempio dall'adeguatezza dell'organizzazione degli ambienti e dall'idoneità all'uso previsto?</t>
  </si>
  <si>
    <t>Gli aspetti urbanistici e architettonici legati al cambiamento climatico (ad esempio, la posizione dell'edificio rispetto alla direzione del vento) sono stati presi esplicitamente in considerazione nel progetto di costruzione e sono state rispettate i requisiti di progetto?</t>
  </si>
  <si>
    <t>La direzione del vento e i flussi d'aria sono stati analizzati in un contesto di pianificazione urbana?</t>
  </si>
  <si>
    <t xml:space="preserve">È stato analizzato il potenziale utilizzo delle foreste e degli spazi verdi nelle vicinanze per il clima urbano?  </t>
  </si>
  <si>
    <t xml:space="preserve">Il committente si dimostra aperto a soluzioni architettoniche innovative che promuovano miglioramenti rilevanti per il clima e le questioni relative al cambiamento climatico vengono prese in considerazione nel processo di selezione dei progetti specificando un obiettivo di CO2 e una pianificazione degli spazi flessibile? </t>
  </si>
  <si>
    <t>È stata definita una pianificazione degli spazi flessibile come pressupposto per non limitare le innovazioni rilevanti per il clima e le soluzioni sufficienti attraverso rigide specifiche di progetto?</t>
  </si>
  <si>
    <t>Il bilancio delle emissioni di anidride carbonica per il progetto di costruzione è già un requisito obbligatorio nella gara d'appalto o nel concorso?</t>
  </si>
  <si>
    <t>Le referenze e le competenze relative alla sensibilità al cambiamento climatico sono state prese in considerazione nel processo di selezione del progetto?</t>
  </si>
  <si>
    <t xml:space="preserve">Si cerca un dialogo con tutti i gruppi di interesse (futuri utenti, vicinato, associazioni, ecc.) fin dalle prime fasi del progetto per consentire la loro partecipazione al processo di pianificazione? </t>
  </si>
  <si>
    <t>Le informazioni sul progetto sono state rese disponibili e facilmente accessibili, ad esempio online?</t>
  </si>
  <si>
    <t>Le abitudini e le esigenze degli utenti in termini di orari di presenza, controllo di ventilazione e di schermature solari sono state analizzate e prese in considerazione nel progetto operativo?</t>
  </si>
  <si>
    <t>I futuri utenti riceveranno istruzioni e consigli adeguati per renderli consapevoli di come il loro comportamento in termini di interazione con sistemi di ventilazione e di schermatura solare contribuisca a prevenire il surriscaldamento?</t>
  </si>
  <si>
    <t>Gli utenti vengono supportati attivamente a ridurre le emissioni di gas serra attraverso la mobilità, ad esempio fornendo piattaforme di scambio per promuovere il car pooling?</t>
  </si>
  <si>
    <t>Nella fase di pianificazione strategica (SIA fase 1), la pianificazione strategica dello spazio scolastico viene effettuata con riferimento ai principi guida del paesaggio educativo, viene elaborato un progetto educativo-organizzativo e vengono fissati obiettivi generali e individuali sotto forma di capitolato d’oneri?</t>
  </si>
  <si>
    <t>Si fa riferimento a obiettivi generali, linee guida e piani, come ad esempio della comunità scolastica o della direzione didattica?</t>
  </si>
  <si>
    <t>La pianificazione strategica degli spazi scolastici è stata effettuata tenendo conto dello sviluppo previsto a lungo termine del numero di alunni e studenti per diversi scenari?</t>
  </si>
  <si>
    <t>È stato effettuato un processo di selezione dei progettisti (idealmente in conformità con le norme SIA 144) includendo una rappresentanza dei futuri utenti nel comitato di valutazione?</t>
  </si>
  <si>
    <t>I futuri utenti o i rappresentanti degli studenti e degli insegnanti sono informati direttamente sul progetto e i loro feedback vengono incorporati nel progetto?</t>
  </si>
  <si>
    <t>Si fa riferimento a obiettivi generali, linee guida o piani, ad esempio del quartiere, del comune, del cantone o del governo federale?</t>
  </si>
  <si>
    <t>I futuri residenti o un loro rappresentanza (sociologi, esperti di edilizia abitativa) saranno informati direttamente sul progetto e i loro feedback saràanno incorporati nel progetto?</t>
  </si>
  <si>
    <t>I futuri utenti o una rappresentanza dei dipendenti vengono informati direttamente sul progetto e i loro feedback vengono incorporati nel progetto?</t>
  </si>
  <si>
    <t>Des objectifs individuels (de durabilité) sont-ils convenus avec les maîtres d'ouvrage ? Des accords ou mandats correspondants sont-ils convenus et inclus dans le cahier des charges ?</t>
  </si>
  <si>
    <t>Les objectifs définis au début de la phase SIA 3 sont-ils ancrés dans les cahiers des charges par le biais de mandats ou d’accords ?</t>
  </si>
  <si>
    <t>Est-ce qu’une analyse spécifique du projet de construction a été effectuée, en ce qui concerne le changement climatique et, sur cette base, est-ce que des objectifs de mitigation et d'adaptation ont été stipulés dans le cahier des charges ?</t>
  </si>
  <si>
    <t>Est-ce que des mesures de mitigation concernant le changement climatique ont été évaluées spécifiquement dans le projet avec des concepteurs d’installations spécialisés au cours de la  phase initiale de planification  (planification stratégique, études préliminaires) ?</t>
  </si>
  <si>
    <t>Est-ce que des mesures d’adaptation au changement climatique ont été évaluées spécifiquement dans le projet avec des planificateurs spécialisés au cours de la  phase initiale de planification  (planification stratégique) ?</t>
  </si>
  <si>
    <t>Est-ce que les mesures de mitigation et d'adaptation ont été intégrées dans le cahier des charges du projet sous la forme d'objectifs obligatoires ?</t>
  </si>
  <si>
    <t xml:space="preserve">Le projet a-t-il fait l'objet d'un concours ou d'un mandat d'étude avec une procédure de sélection  (Conformément à la SIA 142 ou 143 dans l'idéal) ?
 (concours selon SIA 142:2009 ''Règlement des concours d'architecture et d'ingénierie'', mandat d'étude selon SIA 143:2009 ''Règlement des mandats d’étude parallèles d’architecture et d’ingénierie'') </t>
  </si>
  <si>
    <t>Les potentiels d'utilisation des forêts et des espaces verts situés à proximité pour le rafraichissement en context urbain sont-ils analysés ?</t>
  </si>
  <si>
    <r>
      <t>En fixant un objectif en matière de CO</t>
    </r>
    <r>
      <rPr>
        <vertAlign val="subscript"/>
        <sz val="11"/>
        <rFont val="Calibri"/>
        <family val="2"/>
        <scheme val="minor"/>
      </rPr>
      <t>2</t>
    </r>
    <r>
      <rPr>
        <sz val="11"/>
        <rFont val="Calibri"/>
        <family val="2"/>
        <scheme val="minor"/>
      </rPr>
      <t xml:space="preserve"> ainsi qu'un programme d'espace flexible, le maître d'ouvrage fait-il preuve d'ouverture à l'égard de solutions architecturales innovantes qui favorisent les améliorations en matière de climat? Lles thèmes liés au changement climatique sont-ils pris en compte dans le processus de sélection des planificateurs ? </t>
    </r>
  </si>
  <si>
    <t>Un programme d'espaces flexible, qui ne limite pas les innovations pertinentes pour le climat et les solutions suffisantes par des directives rigides, a-t-il été donné comme base ?</t>
  </si>
  <si>
    <t>Un bilan carbone est-il déjà obligatoirement demandé dans l'appel d'offres ou dans le concours pour le projet de construction ?</t>
  </si>
  <si>
    <t>Le processus de sélection des planificateurs a-t-il pris en compte les références et les compétences en matière de sensibilité au changement climatique ?</t>
  </si>
  <si>
    <t xml:space="preserve">Est-ce que le dialogue avec tous les groupes d'intérêt (futurs utilisateurs, voisinage, associations, etc.) a-t-il été recherché suffisamment tôt dans le projet afin de permettre leur participation au processus de planification ? </t>
  </si>
  <si>
    <t>Des solutions aux conflits d'intérêts avec les voisins et autres groupes d'intéressés ont-elles été discutées et convenues ?</t>
  </si>
  <si>
    <t>Est-ce que le concept du bâtiment tient-il compte des besoins et des habitudes des futurs utilisateurs en ce qui concerne les heures de présence, le comportement d'aération et la gestion de l'ombrage, et les utilisateurs sont-ils sensibilisés à la surchauffe et à l'automatisation des installations ?</t>
  </si>
  <si>
    <t>Est-ce que les habitudes et les besoins des utilisateurs en matière d'heures de présence, de comportement d'aération et de gestion de l'ombrage des zones sont-ils analysés et pris en compte dans le concept d'exploitation ?</t>
  </si>
  <si>
    <t>Est-ce que les utilisateurs sont activement encouragés à réduire les émissions de gaz à effet de serre dans l'entreprise (par exemple par un monitorage visible, des conseils ou des instructions mis à disposition pour l'aération et le chauffage ainsi que des prises électriques modernes) ?</t>
  </si>
  <si>
    <t>Est-ce que les utilisateurs sont soutenus par des mesures ciblées pour rendre leurs habitudes de consommation plus durables et ainsi réduire les émissions de gaz à effet de serre lors de la fabrication de produits ? (p. ex. partage d'objets d'usage courant, magazins  de seconde main et offres visant à éviter le gaspillage alimentaire)</t>
  </si>
  <si>
    <t>Le projet se base-t-il sur une planification stratégique des locaux scolaires réalisée lors de la phase SIA correspondante et les cahiers des charges incluent-ils des références aux plans directeurs régionaux, à un modèle pédagogique et à des objectifs individuels et d'ordre général appropriés ?</t>
  </si>
  <si>
    <t>Le projet tient-il compte d'un modèle pédagogique ? (P. ex. planification de la communauté scolaire ou de la direction de l’école)</t>
  </si>
  <si>
    <t>Le projet se réfère-t-il à des objectifs ou aux plans directeurs et concepts d'aménagement du quartier, de la commune, du canton ou du conseil fédéral ? (Concepts de développement de la commune ou de la ville, projets de territoire ou plans directeurs)</t>
  </si>
  <si>
    <t xml:space="preserve">Y a-t-il une offre de services de base adéquate pour les espaces proches du projet (max. 10 minutes à pied) et présente-t-il une bonne desserte en transports publics ? </t>
  </si>
  <si>
    <t>Existe-t-il, dans le voisinage immédiat du projet (max. 10 minutes à pied), une infrastructure de détente accessible à tous en cas de périodes de chaleur prolongées, avec des espaces verts ombragés, des installations aquatiques accessibles et des espaces intérieurs raffraichis ?</t>
  </si>
  <si>
    <t>Des locaux ou des infrastructures permettant de se rafraîchir rapidement ou de se reposer en période de canicule sont-ils planifiés ? (p. ex. lavabos ou espaces de repos accessibles au public) (« Oui » pour les bâtiments d'habitation)</t>
  </si>
  <si>
    <t>Est-ce que l'offre de rafraichissement et de récréation envisagée est également accessible sans obstacle à tout moment ?</t>
  </si>
  <si>
    <t>L'immobile in progetto o la proprietà dispone di un collegamento di TP di classe D o superiore?</t>
  </si>
  <si>
    <t>Sono stati implementati elevati requisiti di accessibilità o facilità d'uso? (ad esempio, installazione a posteriori di montascale e corrimano, misure per ipovedenti e ipoudenti, buona illuminazione, maniglioni dei servizi igienici riadattabili, posti a sedere nell'area d'ingresso)</t>
  </si>
  <si>
    <t>Viene consultato un centro specializzato qualificato per la valutazione della costruzione senza barriere?</t>
  </si>
  <si>
    <t>Le sue raccomandazioni sono state attuate?</t>
  </si>
  <si>
    <t>Sono stati implementati elevati requisiti per le strutture degli edifici? (ad p. es corridoi e percorsi di almeno 1.20 m, altezze di soglia ridotte, accesso senza barriere all'ingresso principale e ai posti auto, aree per il parcheggio di sedie a rotelle/carrozzine, parcheggi accessibili alle sedie a rotelle)</t>
  </si>
  <si>
    <t>Sono stati implementati elevati requisiti per le strutture degli edifici? (ad p. es corridoi e percorsi di almeno 1.20 m, altezze di soglia ridotte, accesso senza barriere all'ingresso principale, al seminterrato e ai posti auto, parcheggi accessibili alle sedie a rotelle)</t>
  </si>
  <si>
    <t>Sono stati implementati elevati requisiti per le strutture degli edifici? (ad p. es corridoi e percorsi di almeno 1.40 m, porte senza soglia, pianerottoli intermedi per scale e rampe, aree per il parcheggio di sedie a rotelle/carrozzine, parcheggi accessibili alle sedie a rotelle)</t>
  </si>
  <si>
    <t xml:space="preserve">Sono disponibili servizi di base adeguati nelle immediate vicinanze dell'immobile in progetto (max. 10 minuti a piedi) e ci sono buoni collegamenti con i trasporti pubblici? </t>
  </si>
  <si>
    <t>Esiste un'infrastruttura ricreativa facilmente accessibile nelle immediate vicinanze del progetto (max. 10 minuti a piedi) con spazi verdi ombreggiati, strutture idriche accessibili e spazi interni freschi durante i periodi di caldo prolungato?</t>
  </si>
  <si>
    <t>Esistono spazi verdi pubblici con un'opportunità di rinfrescamento sufficientemente (ombra, giochi d'acqua, grandi fontane) nel raggio di dieci minuti a piedi (&lt; 1000 m a piedi) dal sito del progetto?</t>
  </si>
  <si>
    <t>Ci sono strutture acquatiche accessibili (piscine pubbliche, laghi, fiumi, parchi di spruzzatura, parchi giochi acquatici) che offrono opportunità di balneazione o di raffrescarsi nell'area del progetto? (Distanza &lt; 3 km a piedi)</t>
  </si>
  <si>
    <t>Il progetto edilizio è idoneo all'autorizzazione per la costruzione senza barriere?</t>
  </si>
  <si>
    <t>Nell'edificio sono presenti infrastrutture e locali accessibili in caso di svenimento dovuto al surriscaldamento (ad es. distributore di acqua potabile, lavabo, stanze con strutture reclinabili)?</t>
  </si>
  <si>
    <t>Sono stati definiti gli allacciamenti e i requisiti di spazio per gli erogatori d'acqua nelle aree pubbliche?</t>
  </si>
  <si>
    <t>Sono previsti locali o infrastrutture per il raffrescamento rapido o il relax durante i periodi caldi? (ad esempio, lavandini accessibili al pubblico o aree per prendere il sole) (“Sì” per gli edifici puramente residenziali)</t>
  </si>
  <si>
    <t>L'area di raffrescamento e ricreativa prevista è accessibile in ogni momento senza barriere?</t>
  </si>
  <si>
    <t>Existe-t-il des espaces intérieurs rafraichis et accessibles dans l'environnement du projet ? (café, bar, centre communautaire, centre de jeunesse ou autre ?) (Distance &lt; 2 km à pied)</t>
  </si>
  <si>
    <t>Des installations aquatiques (piscines, lacs, rivières, brumisateurs, aires de jeux aquatiques publiques) avec des possibilités de baignade ou du refroidissement physique sont-elles accessibles dans les environs du projet ? (Distance &lt; 3 km à pied)</t>
  </si>
  <si>
    <t>Y a-t-il des espaces extérieurs accessibles à distance de marche (&lt; 5 min.) ou sur le terrain qui favorisent les rencontres entre les utilisateurs du bâtiments ?</t>
  </si>
  <si>
    <t xml:space="preserve">Existe-t-il un concept d'aménagement et d'utilisation pour les pièces dits « seuils » qui marquent la transition entre les espaces publics et privés (par ex. entrées d'immeubles, cages d'escalier, couloirs, terrasses) ? </t>
  </si>
  <si>
    <t>Les environs  du projet de construction sont-ils conçus de manière à offrir suffisamment d'espaces de rafraichissement ombragés pour les utilisateurs ?</t>
  </si>
  <si>
    <t>Est-ce que le projet de construction renforce sciemment le sentiment de sécurité des utilisateurs en rendant les surfaces d'accès et de circulation dans le bâtiment, sur le terrain et dans les environs immédiats claires et conviviales grâce à un éclairage ciblé et à des allées axés sur la sécurité ?</t>
  </si>
  <si>
    <t>Existe-t-il un concept explicite pour l'éclairage artificiel des zones partagées et accessibles au public ?</t>
  </si>
  <si>
    <t>Le parcours vers les espaces secondaires (p. ex. cave, buanderie) et les places de jeux extérieurs sont-ils bien visibles et équipés d'un accès sûr ?</t>
  </si>
  <si>
    <t xml:space="preserve">Esiste un  concetto di design e utilizzo per i cosiddetti spazi di soglia che segnano la transizione tra spazi pubblici e privati (ad esempio, ingressi, scale, corridoi, terrazze)? </t>
  </si>
  <si>
    <t>La configurazione e la sicurezza della qualità degli spazi (semi)pubblici sono garantite durante il loro esercizio mediante la partecipazione degli utenti?</t>
  </si>
  <si>
    <t>Il progetto edilizio prevede strutture per il reffrescamento interne ed esterne comuni e facilmente accessibili, con infrastrutture adeguate (ad es. sistemi di ombreggiatura, arredi) che offrono un'elevata qualità di soggiorno durante i periodi di caldo?</t>
  </si>
  <si>
    <t>Il progetto edilizio prevede spazi interni comuni con accesso facilitato e un clima confortevole durante i periodi di caldo?</t>
  </si>
  <si>
    <t>Sono previste aree comuni con un'elevata qualità di soggiorno che fungano da punto di incontro per gli utenti dell'edificio e che offrano anche un'adeguata possibilità di raffrescamento in futuro?</t>
  </si>
  <si>
    <t>Il design delle aree che circondano l'edificio in progetto è concepito in modo tale da fornire un'adeguata ombra per il raffrescamenteo agli utenti dell'edificio?</t>
  </si>
  <si>
    <t>Il progetto edilizio accresce deliberatamente il senso di sicurezza degli utenti prevedendo aree di accesso e di circolazione nell'edificio, nel sito e nelle immediate vicinanze chiaramente indendificate e di facile utilizzo attraverso un'illuminazione mirata e percorsi di sicurezza?</t>
  </si>
  <si>
    <t>Esiste un progetto esplicito per l'illuminazione artificiale delle aree condivise e accessibili al pubblico?</t>
  </si>
  <si>
    <t>I percorsi per raggiungere i locali di servizio dell'edificio (ad es. cantina, lavanderia) e le aree di gioco esterne sono chiaramente identificabili e sicuri per i bambini?</t>
  </si>
  <si>
    <t>Un plan de zone RNI (rayonnements non ionisants) est-il  établi et des mesures permettent-elles de prouver que la charge polluante (formaldéhyde et Total COV) et la charge due au rayonnement (radon) ne dépassent pas les valeurs limites selon Minergie-ECO ?</t>
  </si>
  <si>
    <t>Des mesures sont-elles prévues pour limiter la concentration de radon  (p. ex. pas de pression négative dans le bâtiment, bonne étanchéité entre les locaux sur le terrain et les locaux en contact avec le sol)?</t>
  </si>
  <si>
    <t>Est-ce que des mesures de QAI sont prévues après le projet de construction afin de vérifier les valeurs limites correspondantes (formaldéhyde, COVT) ?</t>
  </si>
  <si>
    <t xml:space="preserve">Est-ce que l'aménagement des alentours du projet de construction est conçu de manière à obtenir un effet de rafraichissement sur le bâtiment et l'espace extérieur (p. ex. par des espaces verts autour et à proximité du bâtiment, des arbres à grande couronne, des ombrages et un aménagement de la surface) ? </t>
  </si>
  <si>
    <t>Est-ce que les vieux arbres à grande couronne sont conservés ou est-ce que des grandes surfaces ombragées sur le terrain sont garanties d'une autre manière ?</t>
  </si>
  <si>
    <t>Les fenêtres sont-elles conçues et positionnées de manière à offrir un bon compromis entre la protection contre la chaleur et un apport suffisant de lumière naturelle (p. ex., débords pour les fenêtres orientées au sud, écrans latéraux pour les fenêtres orientées à l'est et à l'ouest, bandeaux lumineux avec une faible hauteur de linteau, éviter les lucarnes et des fenêtres à hauteur de plafond du côté sud) ?</t>
  </si>
  <si>
    <t xml:space="preserve">Est-il possible d'évacuer les charges thermiques des espaces intérieurs lors des journées chaudes (par ex. par rafraichissement naturel nocturne, free-cooling ou géocooling) ? </t>
  </si>
  <si>
    <t>Un important refroidissement du bâtiment en été (p. ex. ventilation naturelle par les fenêtres) est-il possible sans impact négatif sur la sécurité (risque de cambriolage), le confort visuelle et acoustique (pollution sonore) et la qualité de l’air ?</t>
  </si>
  <si>
    <t>L'utilisation optimisée de la lumière du jour fait-elle partie du contrât de projet ?</t>
  </si>
  <si>
    <t>Des mesures sont-elles prises pour garantir un bon confort visuel sous forme de lumière du jour, de protection contre l'éblouissement et visuelle, même lorsque la protection solaire est activée ? (p. ex. fenêtres donnant sur différents points cardinaux, vitrages de protection solaire)</t>
  </si>
  <si>
    <t>Y a-t-il suffisamment de lumière du jour dans les salles de séjour, même lorsque la protection solaire est activée ?</t>
  </si>
  <si>
    <t>Les exigences accrues en termes de protection contre le bruit entre plusieurs unités d’utilisation (bruit aérien et bruit de choc) ainsi que pour l'enveloppe du bâtiment selon la norme SIA 181 sont-elles respectées ?</t>
  </si>
  <si>
    <t>E' stato redatto un piano di zone RNI (radiazioni non ionizzanti) e sono state effettuate misurazioni per dimostrare che il carico di inquinanti (formaldeide e COV) e il carico di radiazioni (radon) non superano i valori limite secondo Minergie-ECO?</t>
  </si>
  <si>
    <t>E' stato redatto un piano di zone RNI (radiazioni non ionizzanti) per l'intero edificio e sono state applicate le raccomandazioni sull'elettrosmog?</t>
  </si>
  <si>
    <t xml:space="preserve">Il progetto delle aree che circordanto l'edificio è concepito in modo tale da avere un effetto raffrescante sull'edificio e sullo spazio esterno (ad esempio attraverso aree verdi all'interno e intorno all'edificio, alberi dalle grandi chiome, ombreggiatura e design delle superfici)? </t>
  </si>
  <si>
    <t>Le finestre sono progettate e posizionate in modo da offrire un buon compromesso tra protezione dal calore e sufficiente luce diurna (ad e., sporgenze sulle finestre rivolte a sud, schermi laterali sulle finestre rivolte a est e a ovest, lucernari con un'altezza ridotta dell'architrave, assenza di lucernari e finestre a tutta altezza sul lato sud)?</t>
  </si>
  <si>
    <t>È possibile garantire un raffrescamento notturno efficiente (ad es., ventilazione naturale delle finestre) senza effetti negativi sulla sicurezza (protezione dai furti), sul comfort acustico (inquinamento acustico) e sulla qualità dell'aria?</t>
  </si>
  <si>
    <t>Il progetto di costruzione consente un raffrescamento notturno illimitato senza compromettere in modo significativo la qualità dell'aria?</t>
  </si>
  <si>
    <t>Non ci sono vetrate a pavimento o i requisiti di comfort relativi alla corrente di aria fredda sono soddisfatti da vetrate a pavimento?</t>
  </si>
  <si>
    <t>Il pavimento è adeguatamente e correttamente ben isolato rispetto alle stanze non riscaldate o al terreno? (Conformità con i valori U dei singoli componenti del 10% in più rispetto ai requisiti della legge cantonale sull'energia)</t>
  </si>
  <si>
    <t>I requisiti di acustica interna vengono discussi e formulati in una fase iniziale del progetto? (“Sì” se la categoria principale dell'edificio è abitazione)</t>
  </si>
  <si>
    <t>I requisiti di acustica interna vengono discussi e formulati in una fase iniziale del progetto? (ad es. in base ai requisiti attualmente validi della SUVA o dell'OLL3)</t>
  </si>
  <si>
    <t>I requisiti di acustica interna vengono discussi e formulati in una fase iniziale del progetto? (ad es. in base alla norma SIA 181 o alla norma DIN 18041:2016)</t>
  </si>
  <si>
    <t>I requisiti per la luce diurna secondo Minergie-ECO o la norma SN/EN 17037 “Luce naturale negli edifici” sono definiti come requisito di progetto?</t>
  </si>
  <si>
    <t>I requisiti di maggiore protezione fonica dal rumore esterno e tra le diverse unità di utilizzo (secondo la norma SIA 181) sono stati implementati nel progetto e viene garantito una buona protezione fonica all'interno delle unità di utilizzo?</t>
  </si>
  <si>
    <t>Il progetto dell'edificio tiene conto delle esigenze e delle abitudini dei futuri utenti in termini di orari di presenza, controllo di ventilazione e di schermature solari, e gli utenti sono sensibilizzati al surriscaldamento e l'automazione a supporto?</t>
  </si>
  <si>
    <t>Gli utenti sono informati degli effetti dell'automazione a supporto esistente e sensibilizzati con istruzioni adeguate?</t>
  </si>
  <si>
    <t>Buono</t>
  </si>
  <si>
    <t>Les coûts du cycle de vie du bâtiment (coûts de réalisation, coûts d’administration et d’exploitation, coûts de réparations) ont-ils été déterminés ou démontrés quantitativement ou qualitativement avec des outils reconns ?</t>
  </si>
  <si>
    <t>Les frais futurs liés au nettoyage et à l'entretien du bâtiment ont-ils été considérés dans l'évaluation des coûts ?</t>
  </si>
  <si>
    <t>Les dépenses pour l'entretien des façades (précipitations et vents plus intenses) ont-ils été analysés et inclus dans les coûts du cycle de vie ?</t>
  </si>
  <si>
    <t>Le principe d'une planification et d'une réalisation adaptées à la gestion du bâtiment (selon la recommandation SIA 113) est-il suivi dans toutes les phases de planification, en ce sens que les prestations Facility Management anticipatif (FM-A: Facility Management Anticipatif, FM adapté à la planification et à la réalisation de constructions) sont mises en œuvre en fonction des phases ?</t>
  </si>
  <si>
    <t>Les exigences pertinentes pour la gestion du bâtiment  sont-elles évaluées dès la phase des études préliminaires et prises en compte dans un concept d'utilisation ? (par ex. espace nécessaire pour le FM, facilité d'entretien et de nettoyage).</t>
  </si>
  <si>
    <t>Le manuel contenant des informations sur  l'exploitation du bâtiment (notamment nettoyage, élimination des déchets et logistique) préparé à la fin du projet, comprend-t-il les plans de maintenance et d'inspection ?</t>
  </si>
  <si>
    <t>Est-ce que des mesures sont prises dans le sens d'une construction en circuit fermé (économie circulaire: réutilisation d'éléments de construction et documentation des matériaux) ?</t>
  </si>
  <si>
    <t>Dans le cadre de l'analyse du site, analyse-t-on également les dangers liés aux phénomènes naturels dont la probabilité est plus haute dans les scénarios climatiques futurs ? (p. ex. feu de forêt, tornade, événements météorologiques extrêmes, canicule)</t>
  </si>
  <si>
    <t>L' agencement  des pièces sont-elles conçues pour permettre une adaptation saisonnière de la fonction des pièces ? (P.ex. pièce de séjour au nord pour l'été et au sud pour l'hiver)</t>
  </si>
  <si>
    <t>Le projet présente-t-il suffisamment d'espace extérieurs privés pouvant être utilisés de manière appropriée en cas d'intempéries (protection contre les chutes de pluie intenses) et pendant les périodes les plus chaudes (protection solaire efficace) ?</t>
  </si>
  <si>
    <t>Les coûts du cycle de vie ultérieur du projet (méthode qualitative) sont-ils considérés de manière appropriée (au moins pour 50 ans) ?</t>
  </si>
  <si>
    <t>Le remplacement et la remise en état des éléments de construction par un démontage non destructif sont-ils rendus possibles sur le plan conceptuel (p. ex. remplacement des fenêtres sans démontage de la façade, réparation du chauffage sans démolition du sol) ?</t>
  </si>
  <si>
    <t>I costi I costi legati ad un successivo ciclo di vita dell'edificio (valutazione qualitativa) sono considerati in modo adeguato? (Almeno 50 anni)</t>
  </si>
  <si>
    <t>L'intervento strutturale migliora esplicitamente l'accessibilità alle installazioni orizzontali e verticali dei servizi dell'edificio in modo che si renda possibile l'accesso senza significativi interventi strutturali?</t>
  </si>
  <si>
    <t>Il dimensionamento dei punti di accesso ai locali tecnici consente una sostituzione senza problemi delle apparecchiature di servizio dell'edificio?</t>
  </si>
  <si>
    <t>È prevista un'ampisa diversificazion nella gamma degli locali d'uso? (es. ampia gamma di appartamenti)</t>
  </si>
  <si>
    <t>È prevista un'ampisa diversificazion nella gamma dei locali d'uso? (ad esempio, uffici diversi)</t>
  </si>
  <si>
    <t>È prevista un'ampisa diversificazion nella gamma dei locali  d'uso?  (ad esempio, aule, sale per seminari e spazi di lavoro diversi)</t>
  </si>
  <si>
    <t>C'è un alto livello di diversità nella gamma di offerta di utilizzi?</t>
  </si>
  <si>
    <t>Quanto è distante il centro diurno scolastico (ad es. asilo, pranzo, doposcuola)?</t>
  </si>
  <si>
    <t>Esiste una rete adeguata di percorsi pedonali e ciclabili sul sito e gli eventuali servizi accessori sono ben collegati ad essi o il progetto di costruzione ottimizzerà l'accesso per il traffico non motorizzato?</t>
  </si>
  <si>
    <t xml:space="preserve">Saranno mantenute le parti essenziali degli impianti dell'edificio e le relative infrastrutture (ad esempio i servizi igienici)? </t>
  </si>
  <si>
    <t>La struttura di base dell'edificio esistente sarà sostanzialmente mantenuta? (ad esempio, struttura portante invariata)</t>
  </si>
  <si>
    <t>È garantito un facile accesso ai siti di smaltimento?</t>
  </si>
  <si>
    <t>Esiste un centro di raccolta dei rifiuti (riciclaggio, smaltimento, compost) nelle vicinanze o nella proprietà?</t>
  </si>
  <si>
    <t>Il risanamento soddisfa la crescente domanda di spazio senza la necessità di nuovi edifici o ampliamenti, oppure la densificazione degli spazi interni aumenta significativamente lo spazio disponibile (&gt; 25%)?</t>
  </si>
  <si>
    <t>L'energia incorporata (energia grigia) e le emissioni di gas a effetto serra sono calcolate secondo la MB SIA 2032 e l'energia non rinnovabile utilizzata e i gas a effetto serra emessi per la ''costruzione'' del progetto edilizio sono inferiori al valore limite 1 di Minergie-ECO?</t>
  </si>
  <si>
    <t>Nel progetto edilizio sono stati deliberatamente utilizzati materiali che richiedono uno lavoro minimo per la realizzazione (ad esempio, rivestimenti di facciata leggeri piuttosto che pesanti)?</t>
  </si>
  <si>
    <t>Quando si calcola l'energia di esercizio con i dati climatici SIA disponibili per il futuro, l'energia non rinnovabile o i gas a effetto serra utilizzata nell'esecizio dell'immobile in progetto per l'intera durata di vita sono inferiori al valore di riferimento ''Esercizio'' secondo MB SIA 2040?</t>
  </si>
  <si>
    <t>L'energia non rinnovabile e i gas a effetto serra nell'esercizio dell'immobile in progetto sono inferiori al valore guida “Esercizio” secondo MB SIA 2040 utilizzando i dati climatici SIA disponibili per il periodo “2035”, scenario RCP 8.5?</t>
  </si>
  <si>
    <t>Si evita l'uso di materiali isolanti con proprietà ecologiche sfavorevoli, ad esempio (per quanto riguarda i propellenti contenenti alogeni e i ritardanti di fiamma), o si evitano nel capitolato d’oneri?</t>
  </si>
  <si>
    <t>Si evita l'uso di schiume di posa e di riempimento?</t>
  </si>
  <si>
    <t>Il servizio efficiente e duraturo degli impianti e del sistema di costruzione sono garantiti da un test funzionali espliciti durante la messa in servizio e da un'ottimizzazione operativa a livello energetico dopo la consegna dell'edificio?</t>
  </si>
  <si>
    <t>Prima della messa in servizio viene eseguito un test funzionale sistematico di tutti gli impianti dell’edificio e viene documentato di conseguenza?</t>
  </si>
  <si>
    <t>La messa in servizio sistematica degli impianti dell’edificio, comprese le regolazioni e le riadattazioni, è inclusa nel programma fin dall'inizio?</t>
  </si>
  <si>
    <t>È stato elaborato un piano di misurazione dettagliato per il monitoraggio energetico a lungo termine, compresa l'installazione delle apparecchiature di misurazione, la valutazione e la presentazione dei risultati?</t>
  </si>
  <si>
    <t>Esiste un piano di monitoraggio dell'energia e sono state installate apparecchiature di misura adeguate o le apparecchiature di misura sono specificate nel capitolato?</t>
  </si>
  <si>
    <t>È previsto un sistema di misurazione per il monitoraggio a lungo termine, che serva a valutare il comfort termico dell'edificio e consenta una valutazione corrispondente?</t>
  </si>
  <si>
    <t>Esiste un piano che consenta di monitorare il comfort termico e sono state installate le relative apparecchiature di misurazione?</t>
  </si>
  <si>
    <t>Viene elaborato e applicato un piano esplicito per la promozione di una mobilità rispettosa delle risorse e dell'ambiente (uso di trasporti pubblici e biciclette) e per la riduzione del trasporto privato motorizzato?</t>
  </si>
  <si>
    <t>Viene incentivato l'uso dei trasporti pubblici, delle biciclette o del car sharing? (ad es., nessun obbligo di acquisto di posti auto, cofinanziamento di abbonamenti al trasporto pubblico, spazi di car sharing o stazioni di ricarica elettrica).</t>
  </si>
  <si>
    <t>Le linee elettriche di alimentazione degli edifici sono sufficientemente dimensionate per la (futura) installazione di infrastrutture di ricarica?</t>
  </si>
  <si>
    <t>L'allacciamento elettrico si estende ai (futuri) punti di ricarica o alle aree di parcheggio?</t>
  </si>
  <si>
    <t>Il potenziale naturale della flora e della fauna viene valorizzato attraverso il coinvolgimento di uno specialista per garantire la protezione delle specie animali e vegetali autoctone?</t>
  </si>
  <si>
    <t>Almeno il 10% dell'area circostante sarà piantato con piante legnose (siepi, filari di alberi o gruppi di alberi) costituite esclusivamente da specie autoctone, adeguate al sito presenti e compatibili con i cambiamenti climatici?</t>
  </si>
  <si>
    <t>Gli effetti del cambiamento climatico (temperature più elevate e precipitazioni più abbondanti) sono stati presi in considerazione nella scelta delle piante e nel concetto di infiltrazione e ritenzione e hanno influenzato il concetto ambientale?</t>
  </si>
  <si>
    <t>Durante lo svolgimento del catalogo di domande, cercate di dare risposte il più possibile spontanee. Se non siete sicuri, selezionate semplicemente l'opzione “non lo so”. Tali risposte verranno valutate di conseguenza o potranno condurre a ulteriori domande più specifiche sull'argomento.</t>
  </si>
  <si>
    <t>Criterio a cui la domanda si riferisce</t>
  </si>
  <si>
    <t>Un calcul de l'énergie grise et des émissions de gaz à effet de serre est-il effectué selon le cahier technique SIA 2032 et l'énergie non renouvelable dépensée, respectivement les gaz à effet de serre émis pour la ''construction'' du projet  sont-ils inférieurs à la valeur limite 1 de Minergie-ECO ?</t>
  </si>
  <si>
    <t>Le projet se distingue-t-il par son utilisation de matériaux demandant peu de moyens pour leur montage ? (P. ex. matériaux légers plutôt que lourds pour les revêtements de façade)</t>
  </si>
  <si>
    <t>Le projet de construction prévoit-il  la démolition de bâtiments de moins de 60 ans ?</t>
  </si>
  <si>
    <t>Les sources d'énergie fossiles sont-elles évitées pour couvrir les besoins en chaleur, y compris pour couvrir les charges de pointe ou comme chauffage urbain ?</t>
  </si>
  <si>
    <t>Si l'on calcule l'énergie d'exploitation avec les données climatiques SIA pour l'avenir disponibles, est-ce que l'énergie non renouvelable ou les gaz à effet de serre nécessaires à l'exploitation du bâtiment  pendant toute sa durée de vie sont-ils inférieurs à la valeur indicative ''exploitation'' selon le MB SIA 2040 ?</t>
  </si>
  <si>
    <t>Un calcul des dépenses pur la mobilité est-il effectué selon l’outil d’aide SIA 2039 et les gaz à effet de serre émis pour la "mobilité" induite par le bâtiment dans le cadre du projet de construction sont-ils inférieurs à la valeur indicative correspondante de la voie SIA vers l’efficacité énergétique (SIA 2040) ?</t>
  </si>
  <si>
    <t>Existe-t-il un concept efficace pour la réutilisation, le recyclage ou l'évacuation des matériaux de construction existants ou à utiliser et des déchets ?</t>
  </si>
  <si>
    <t>Un contrôle est-il prévu pour rechercher des traces de matériaux contaminés au préalable (amiante, PCB, PCP) et les matériaux contenant des substances nocives sont éliminés de manière appropriée ? (''Oui'' si les bâtiments démolis ont été construits après 1990 ou qu'aucun bâtiment n'est transformé ou démoli)</t>
  </si>
  <si>
    <t>Un relevé, un stockage et un traitement à long terme des résultats de mesure sont-ils prévus et assurés sur le long terme ?</t>
  </si>
  <si>
    <t>Un nombre minimal de places de stationnement pour voitures au sein de structures en surface ou souterraines placées est-il prévu ?</t>
  </si>
  <si>
    <t>Le raccord électrique s'effectue-t-il jusqu'aux (futurs) points de recharge ou aux aires de stationnement ?</t>
  </si>
  <si>
    <t>Est-ce que des habitats pour les espèces animales indigènes sont créés dans les environs  et protégés ?</t>
  </si>
  <si>
    <t>Est-il prévu de planter de la végétation indigènes et adaptées au site sur les surfaces environnantes, les toits et les façades ?</t>
  </si>
  <si>
    <t>Essayez de donner des réponses aussi spontanées que possible lorsque vous répondez au questionnaire. Là où vous n'êtes pas sûr(e), choisissez simplement l'option « ne sait pas ». De telles réponses seront évaluées en conséquence, ou seront transformées en questions plus spécifiques sur le sujet.</t>
  </si>
  <si>
    <t>Al catalogo delle domande</t>
  </si>
  <si>
    <t>Il Pre-Check SNBS 2023.1 Edificio funziona con macro . Se non è possibile attivare le macro, provare a salvare il file in una nuova cartella e riavviarlo.</t>
  </si>
  <si>
    <t>Per una valutazione "SNBS Pre-Check 2023.1 Edificio" di un progetto edilizio senza alcun modulo aggiuntivo, è possibile proseguire direttamente all'introduzione.</t>
  </si>
  <si>
    <t>Il modulo "Check Clima SNBS 2023.1" è un modulo aggiuntivo opzionale al "Pre-Check SNBS 2023.1 Edificio". Il modulo determina la conformità ai cambiamenti climatici di un progetto edilizio. In altre parole, determina in che misura l'edificio analizzato sia preparato per il clima del futuro e se questo contribuisca alla mitigazione dei cambiamenti climatici. Le risposte alle domande del "Check Clima" si basano sulla struttura dei criteri SNBS e vengono quindi effettuate parallelamente all'indagine "Pre-Check". Tuttavia, è possibile utilizzare solo uno dei due moduli - "Pre-Check" o "Check Clima" - in questo strumento. Una spiegazione dettagliata dei due moduli è disponibile nella scheda “Intro”. È possibile selezionare un altro modulo in qualsiasi momento.</t>
  </si>
  <si>
    <t>Indietro</t>
  </si>
  <si>
    <t>Il Pre-Check SNBS 2023.1 Edificio consente di ottenere informazioni sulla sostenibilità di un progetto rispondendo a semplici domande in soli 30-120 minuti (a seconda del tipo di progetto ediliyio). In questo modo é possibile identificare gli ostacoli nella fase iniziale del progetto di costruzione che mettono a rischio una valutazione di sostenibilità complessivamente sufficiente. È quindi possibile introdurre tempestivamente misure di miglioramento.</t>
  </si>
  <si>
    <t>Tuttavia, il Pre-Check può essere avviato senza problemi anche direttamente dal il catalogo delle domande. Cercate di fornire il più possibile risposte spontanee durante una prima valutazione del progetto o quando lavorate per la prima volta con il catalogo delle domande. Se non siete sicuri, selezionate semplicemente l'opzione “non lo so”. Lo strumento è strutturato in modo che tali risposte vengano valutate di conseguenza o portino a domande più specifiche sull'argomento.</t>
  </si>
  <si>
    <t xml:space="preserve">L'SNBS è sviluppato e mantenuto dal Network Costruzione Sostenibile Svizzera (NNBS) in stretta collaborazione con un ente di certificazione. </t>
  </si>
  <si>
    <t>L'SNBS 2023.1 Edificio è suddiviso in tre aree di dominio  (società, economia e ambiente), in cui i criteri da valutare sono raggruppati in diversi temi di sostenibilità. In totale vengono valutati 35 criteri, suddivisi in 11 temi.</t>
  </si>
  <si>
    <t>La numerazione dei criteri è strutturata come segue: La prima cifra indica l'area di dominio, la seconda cifra il tema e la terza cifra indica il numero del criterio di sostenibilità, per un massimo di 7 criteri per tema.</t>
  </si>
  <si>
    <t>Se necessario, fare riferimento [numerato] a “Info”</t>
  </si>
  <si>
    <t>Le risposte negative o ambigue conducono a ulteriori domande, come nell'esempio seguente:</t>
  </si>
  <si>
    <t>Se il punteggio sostenibilità è superiore all'85%, i requisiti del rispettivo criterio sono considerati soddisfatti in modo ''buono''.</t>
  </si>
  <si>
    <t>Se il punteggio sostenibilità è compreso tra il 65% e l'85%, i requisiti del rispettivo criterio sono considerati soddisfatti in modo ''sufficiente''.</t>
  </si>
  <si>
    <t>Se il punteggio sostenibilità è compreso tra il 50% e il 65%, i requisiti del rispettivo criterio sono considerati soddisfatti in modo "insufficiente”.</t>
  </si>
  <si>
    <t>Se il punteggio sostenibilità è inferiore al 50%, il rispettivo criterio viene etichettato come “ostacolo”.</t>
  </si>
  <si>
    <t>Una risposta negativa non assegna alcun punto.</t>
  </si>
  <si>
    <t>Per la prima domanda, una risposta positiva comporta il 100% del punteggio. Il criterio 111 è quindi valutato come non problematico nella verifica preliminare.</t>
  </si>
  <si>
    <t xml:space="preserve">Per il criterio 112, le risposte "sì", "non lo so" e "no" alle domande aggiuntive determinano il grado percentuale di soddisfacimento del criterio: 43% nell'esempio. La somma delle risposte ''sì'' è pari al 100% in ogni caso, mentre le risposte ''non so'' contribuiscono per il 30% del grado di soddisfacimento. Una risposta negativa non assegna alcun punto. </t>
  </si>
  <si>
    <t>La panoramica dei risultati è composta da due parti. La prima illustrazione è un diagramma a ragno. Questo può essere utilizzato per analizzare i punti di forza e di debolezza di un progetto. Può essere uno strumento utile per anche per il confronto di progetti diversi.</t>
  </si>
  <si>
    <t>Per le domande di 1° grado, una risposta ''No'', “Parzialmente'' o ''Non so'' porta a ulteriori domande.</t>
  </si>
  <si>
    <t>La nuova costruzione o la ristrutturazione di edifici appartenenti alle categorie ''Abitazione'', ''Amministrazione'', ''Scuole'' e ''Uso commerciale al piano terra" sono ammissibili alla certificazione. Possono essere certificati anche gli immobili con destinazione d'uso al piano terra e gli altri usi possono essere al massimo il 20% della superficie di riferimento energetico (AE).</t>
  </si>
  <si>
    <t>Per ogni area (Società, Economia ed Ambiente), al massimo un indicatore può essere valuatato "insufficiente" per i nuovi edifici. con due valutazioni "insufficiente" si può tuttavia raggiungere il grado ''Oro''. Con tre valutazioni "insufficiente" si può raggiungere solo al grado ''Argento''. Il grado di certificazione ''Platino'' non può essere raggiunto in presenza di valutazioni "insufficiente".</t>
  </si>
  <si>
    <t>In linea di principio, i risanamenti sono valutati allo stesso modo delle nuove costruzioni e si applicano gli stessi requisiti. A causa di condizioni strutturali o costruttive, sono tollerate valutazioni insufficienti aggiuntive per i seguenti criteri:</t>
  </si>
  <si>
    <t xml:space="preserve">Il ''Check Clima SNBS 2023.1 Edificio'' è un modulo opzionale aggiuntivo al ''Pre-Check SNBS 2023.1 Edificio''. Determina la conformità ai cambiamenti climatici di un progetto edilizio. In altre parole, determina in che misura l'edificio analizzato sia preparato per il clima del futuro (adattamento al clima) e se questo contribuisca alla mitigazione dei cambiamenti climatici (protezione del clima). Le risposte alle domande del ''Check Clima'' si basano sulla struttura dei criteri SNBS e vengono quindi effettuate parallelamente all'indagine di ''Pre-Check''. Tuttavia, è possibile utilizzare solo uno dei due moduli - ''Pre-Check'' o ''Check Clima'' - in questo strumento.
</t>
  </si>
  <si>
    <t xml:space="preserve">Il clima del futuro sarà molto diverso da quello attuale: le ricerche prevedono un aumento significativo della temperatura, precipitazioni più intense e un incremento dei rischi naturali [CH 2018]*. Gli edifici progettati oggi saranno esposti al clima del futuro durante la loro vita. È quindi importante che gli edifici progettati oggi siano in grado di soddisfare le noste esigenze anche nelle condizioni future, come ad esempio che siano in grado di garantire le condizioni di comfort per temperature estive più elevate.
</t>
  </si>
  <si>
    <t>Il ''Check Clima'' fornisce un approccio mirato all'importanza degli scenari climatici futuri. Inoltre, fornisce spunti di riflessione nella fase iniziale di pianificazione del progetto per ottimizzare il comportamento degli edifici durante l'intero ciclo di vita.</t>
  </si>
  <si>
    <t xml:space="preserve">La struttura del ''Check Clima'' si basa sui criteri del SNBS. Alcuni di questi criteri sono stati presentati invariati come argomenti trasversali sulla protezione del clima e l'adattamento al clima. Inoltre, vengono poste nuove domande rilevanti per il clima. I criteri i cui obiettivi non sono direttamente correlati al cambiamento climatico non sono presi in considerazione nella valutazione del ''Check Clima''. 
Un totale di 17 criteri rilevanti per il clima, appartenenti a 9 temi, sono valutati nel ''Check Clima'': </t>
  </si>
  <si>
    <t>Informazioni generali: È possibile visualizzare o nascondere il menu e l'elenco dei criteri in alto in qualsiasi momento. 
Gli strumenti di aiuto e i link interessanti per singoli criteri possono essere visualizzati nella colonna di aiuto sul lato destro.
Se non si riesce a visualizzare l'intero testo di una domanda, provare a regolare l'impostazione dello zoom della finestra in Excel.</t>
  </si>
  <si>
    <t>Il metodo di riduzione e il meccanismo di valutazione delle domande funzionano in modo simile per il ''Pre-Check'' e il ''Check Clima''. Le domande del questionario dipendono dallo strumento selezionato nella pagina iniziale ''Tool''. È possibile cambiare strumento in qualsiasi momento utilizzando l'apposito pulsante nel menu in cima alla pagina.</t>
  </si>
  <si>
    <t>Il 77% dei requisiti del ''Check Clima'' è stato soddisfatto.</t>
  </si>
  <si>
    <t>Per i risanamenti, i seguenti criteri possono avere un punteggio insufficiente nell'ambito della certificazione SNBS. Tuttavia, il punteggio medio per il tema pertinente deve rimanere sufficiente.</t>
  </si>
  <si>
    <t>L'SNBS 2023.1 rafforzerà la famiglia delle etichette dell'Ufficio federale dell'energia (GEAK e Minergie (-ECO)). Se i requisiti e gli obiettivi dei criteri di questi marchi esistono, saranno inclusi nella SNBS 2023.1. Le certificazioni doppie e multiple saranno riconosciute come prove e il carico di lavoro aggiuntivo sarà ridotto.</t>
  </si>
  <si>
    <t>In questa scheda troverete informazioni aggiuntive utili ai criteri e alle modalità di risposta alle domande. La numerazione corrisponde a quella della colonna all'estrema destra della scheda “Check”.</t>
  </si>
  <si>
    <t>Per tutte le misure SNBS che fanno riferimento a Minergie-ECO, viene adottata la regola del 20/80 in base al catalogo dei requisiti Minergie-ECO. Per tutte le altre misure, il 100% dei requisiti deve essere implementato per essere considerato "pienamente soddisfatto".</t>
  </si>
  <si>
    <t>Residenziale (PF, MF), locali fino a 2 facciate, soffitto in cemento (&gt;80% libero)</t>
  </si>
  <si>
    <t>Residenziale (PF, MF), locali fino a 2 facciate, soffitto in legno e pavimento in calcestruzzo con spessore minimo di 6 cm o massetto in anidrite con spessore minimo di 5 cm</t>
  </si>
  <si>
    <t>Residenziale (PF, MF), locali con 1 facciata, soffitto in calcestruzzo (&gt;80% libero), orientamento SSE-SSW e ombreggiatura con balcone di 1 m di profondità</t>
  </si>
  <si>
    <t>La distanza tra l'edificio valutato e le sedi dei servizi offerti del quartiere può essere misurata utilizzando il route planner di Google Maps (la distanza a piedi è rilevante in ogni caso):</t>
  </si>
  <si>
    <t>- Almeno una struttura commerciale per le necessità quotidiane (negozio di alimentari) a una distanza massima di 500 m a piedi (ad eccezione delle scuole primarie e secondarie inferiori).
- Per le scuole primarie e secondarie inferiori: almeno un asilo nido (doposcuola, mensa, scuola diurna) a una distanza massima di 500 m a piedi.
- Dovrebbe essere disponibile almeno una struttura di ristorazione (ristorante, bar, mensa, ecc.). Nei centri urbani: a una distanza massima di 500 m a piedi. In campagna: a una distanza massima di 750 metri.
- Deve essere disponibile almeno una struttura che possa essere utilizzata per le attività ricreative pubbliche (spazi all'aperto con posti a sedere, parco, piazza, ecc.). Negli agglomerati urbani e nei centri: a una distanza massima di 500 m a piedi. In campagna: entro una distanza massima di 750 m.
- Deve essere disponibile almeno un'infrastruttura sociale (asilo, scuola elementare, centro di quartiere, ecc.). Negli agglomerati urbani e nei centri: a una distanza massima di 500 m a piedi. In campagna: a una distanza massima di 750 m.</t>
  </si>
  <si>
    <t>Link alla mappa con i tipologie di territorio</t>
  </si>
  <si>
    <t>Link alla mappa con le classi di collegamento di TP</t>
  </si>
  <si>
    <t>Raccomandazione dell'applicazione SIA sull'utilizzo dei set di dati climatici per il futuro:</t>
  </si>
  <si>
    <t>La prima illustrazione rappresenta la valutazione dei singoli argomenti sotto forma di diagramma "a ragno". Ciò consente di identificare rapidamente i punti di forza e di debolezza all'interno del progetto, ma anche di confrontare visivamente le varianti del progetto o diversi progetti.</t>
  </si>
  <si>
    <t>Nel caso delle risanamento, i seguenti criteri possono avere una valutazione insufficiente nel contesto della certificazione SNBS, purché la valutazione media del tema generale rimanga sufficiente:</t>
  </si>
  <si>
    <t>Nel caso di ristrutturazioni, i seguenti criteri sono probabilmente classificati come insufficiente nell'ambito della certificazione SNBS, a condizione che la valutazione media del tema generale rimanga sufficiente:</t>
  </si>
  <si>
    <t>: Parametro 2, 3</t>
  </si>
  <si>
    <t>: Parametro 1, 2</t>
  </si>
  <si>
    <t>: Parametro 2, 3, 5</t>
  </si>
  <si>
    <t>: Parametro 2, 5</t>
  </si>
  <si>
    <t>Le Pre-Check peut toutefois aussi être démarré sans problème directement avec le catalogue de questions. Lors de la première évaluation du projet ou du premier traitement du catalogue de questions, essayez de donner des réponses aussi spontanées que possible. Là où vous n'êtes pas sûr, choisissez simplement l'option "Je ne sais pas". L'outil est conçu de manière à ce que de telles réponses soient évaluées en conséquence ou conduisent à des questions plus spécifiques sur le sujet.</t>
  </si>
  <si>
    <t>Vous trouverez plus d'informations dans la feuille ''Info Pre-Check'' dans le menu ci-dessus, ou directement dans les fiches-critères SNBS.</t>
  </si>
  <si>
    <t>Une réponse positive accorde 100 % des points àu critère correspondant.</t>
  </si>
  <si>
    <t>Les exigences de l'évaluation ''Check Climat'' a été à 77 % remplie.</t>
  </si>
  <si>
    <t>Consistence du SNBS et de Minergie®</t>
  </si>
  <si>
    <t>- Au moins un commerce de proximité pour les besoins quotidiens (épicerie) à une distance de marche de 500 m au maximum (sauf pour les écoles primaires et secondaires I).
- Pour les écoles du primaire et du secondaire I : au moins une offre de structure scolaire de jour (garderie, repas de midi, école à horaire continu) à une distance à pied de 500 m maximum.
- Au moins une offre gastronomique (restaurant, café, cantine, etc.) doit être disponible. En agglomération et dans les centres : à une distance de marche de 500 m maximum. A la campagne : à une distance de marche de 750 m maximum.
- Au moins un endroit pouvant être utilisé publiquement pour la détente (espaces extérieurs/de plein air avec possibilité de s'asseoir, parc, place, etc. En agglomération et dans les centres : à une distance de marche de 500 m au maximum. A la campagne : à une distance de marche de 750 m maximum.
- Au moins une infrastructure sociale (école maternelle, école primaire, centre de quartier, etc.) doit être disponible. En agglomération et dans les centres : à une distance de marche de 500 m au maximum. A la campagne : à une distance de marche de 750 m maximum.</t>
  </si>
  <si>
    <t>Vue d'ensemble de l'évaluation</t>
  </si>
  <si>
    <t>Sur le côté droit, les ''obstacles'' sont représentées en rouge encadrées et en caractères gras, les critères ''insuffisants'' en rouge, les critères ''suffisants'' en vert et les critères ''bons'' en vert et barrés.</t>
  </si>
  <si>
    <t>Dans le domaine ''Société'', un taux de conformité est de 0 % est atteint.</t>
  </si>
  <si>
    <t>Dans le domaine ''Éonomie'', le degré de conformité est de 0 %.</t>
  </si>
  <si>
    <t>Dans le domaine de l"Environnement", le taux de conformité est de 0 %.</t>
  </si>
  <si>
    <t>Vue d'ensemble et identification des obstacles</t>
  </si>
  <si>
    <t>Sur le côté gauche, le diagramme montre visuellement les points forts et points faibles du projet.</t>
  </si>
  <si>
    <t>Sur le côté droit, les critères ''insuffisants'' ainsi que les critères ''remplis'' sont listés.</t>
  </si>
  <si>
    <t xml:space="preserve">Les critères suivants ont été identifiés comme ''remplis'' pour la réalisation d'un projet durable global : </t>
  </si>
  <si>
    <t>Dans le cadre d'une certification SNBS, les critères suivants peuvent être considérés comme insuffisants lors de rénovations, tant que la note moyenne du thème général demeure suffisante :</t>
  </si>
  <si>
    <t>p. ex. concepts d’aménagement de la ville/commune, concepts d’aménagement du territoire régionaux ou cantonaux ou plans directeurs</t>
  </si>
  <si>
    <t>Des calculs ou des simulations dynamiques sont-ils effectués pour vérifier les températures intérieures estivales ? (Variante 2 ou 3 de la norme SIA 180)</t>
  </si>
  <si>
    <t>Vengono effettuate calcoli o simulazioni dinamiche per verificare le temperature interne estive? (Procedura 2 o 3 della norma SIA 180)</t>
  </si>
  <si>
    <t>Werden zur Überprüfung der sommerlichen Innentemperaturen Berechnungen oder dynamische Simulationen durchgeführt? (SIA 180 Nachweis Verfahren 2 
oder 3)</t>
  </si>
  <si>
    <t>Wird die Dach- und Fassadenbegründung so geplant, dass sie ohne Bewässerung auskommt?</t>
  </si>
  <si>
    <t>Est-ce que la végétalisation des toitures et façades est planifié de manière à ne pas nécessiter d'irrigation ?</t>
  </si>
  <si>
    <t>La vegetazione di tetto e facciata è progettata in modo da non richiedere irrigazione?</t>
  </si>
  <si>
    <t xml:space="preserve">Ansätze zur Optimierung der Graue Energie und THGE </t>
  </si>
  <si>
    <t>Approches pour l'optimisation de l'énergie grise et des EGES</t>
  </si>
  <si>
    <t>Approcci per l'ottimizzazione dell'energia grigia e delle EGES</t>
  </si>
  <si>
    <t>- Innerhalb des Massivbaus: Systemtrennung und Decken bis max. 22 cm
- CO2-optimierter Zemente in Betonen (CEM II oder CEM III, Unternehmerangebote wie JURA ECO oder Zirkulit)
- Sägerohes Holz statt verleimte Träger und Platten
- Fassadenaufbau in Leichtbauweise 
- Hinterlüftete Fassaden ohne Metallverkleidungen
- Holz- statt Holz-Metallfenster
- Reduzierter Fensteranteil
- Bodenbeläge ohne Fertigbelag, Bsp. Anhydrid geschliffen
- Lehmbauelemente (Lehm-Leichtbauplatten, Lehmbausteine)
- Einfache Gebäudetechnik</t>
  </si>
  <si>
    <t>- Dans le construction massif : séparation des systèmes et plafonds jusqu'à max. 22 cm
- Ciments optimisés pour le CO2 dans les bétons (CEM II ou CEM III, offres des entrepreneurs telles que JURA ECO ou Zirkulit)
- Bois brut plutôt que poutres et panneaux collés
- Construction de façade en construction légère
- Façades ventilées sans revêtements métalliques
- Fenêtres en bois plutôt que bois-métal
- Réduction de la proportion de fenêtres
- Revêtements de sol sans revêtement fini, par exemple anhydrite poncé
- Éléments de construction en argile (panneaux légers en argile, briques en argile)
- Installations du bâtiment simplifiée</t>
  </si>
  <si>
    <t>- Nella costruzione massiva: separazione dei sistemi e soffitto fino a max. 22 cm
- Cemento ottimizzato per CO2 nei calcestruzzi (CEM II o CEM III, offerte dei fornitori come JURA ECO o Zirkulit)
- Legno non lavorato invece di travi e lastre incollati
- Struttura delle facciate in costruzione leggera
- Facciate ventilate senza rivestimenti metallici
- Finestre in legno anziché legno-metallo
- Riduzione della superficie finestrata
- Rivestimenti per pavimenti senza finitura preconfezionata, ad es. anidrite levigata
- Elementi in argilla (lastre in argilla leggera, mattoni in argilla)
- Impiantistica degli edifici semplice</t>
  </si>
  <si>
    <t>Info [9]</t>
  </si>
  <si>
    <t>La superficie dei piani sotterranei è inferiore al 20% della superficie totale dei piani dell'edificio? (nessun seminterrato = “Sì”)</t>
  </si>
  <si>
    <t>Ist der Anteil unterirdischer Geschossfläche weniger als 20% der gesamten Geschossfläche des Gebäudes?  (kein UG = «Ja»)</t>
  </si>
  <si>
    <t>La superficie des étages souterrains représente-t-elle moins de 20 % de la surface totale des étages du bâtiment ? (pas de sous-sol = « oui »)</t>
  </si>
  <si>
    <t>SIA 380/1:2016 «Heizwärmebedarf»
SIA 382/2:2011 «Klimatisierte Gebäude − Leistungs- und Energiebedarf»
SIA 387/4:2023 «Elektrizität in Gebäuden − Beleuchtung: Berechnung und Anforderungen»</t>
  </si>
  <si>
    <t>SIA 380/1:2016 «Besoins de chaleur pour le chauffage»
SIA 382/2:2011 «Bâtiments climatisés − Puissance requise et besoins d'énergie»
SIA 387/4:2023 «Électricité dans les bâtiments − Éclairage: calcul et exigences»</t>
  </si>
  <si>
    <t>SIA 380/1:2016 “Fabbisogno termico per il riscaldamento”
SIA 382/2:2011 “Edifici climatizzati − Fabbisogno di potenza e di energia”
SIA 387/4:2023 “Elettricità negli edifici − Illuminazione: calcolo requisiti”</t>
  </si>
  <si>
    <t>Liegen bei einer Berechnung der Betriebsenergie gemäss SIA 380/1, 382/2 und 387/4 die aufgewendeten nicht erneuerbaren Energien, für den Betrieb des Gebäudes unterhalb der Grenzwerte eines Minergie-A oder -P Standards?</t>
  </si>
  <si>
    <t>Dans le cas d'un calcul de l'énergie de fonctionnement selon SIA 380/1, 382/2 et 384/7, les énergies non renouvelables dépensées pour l'exploitation du bâtiment sont-elles inférieures aux seuils des standards Minergie-A ou -P ?</t>
  </si>
  <si>
    <t>Nel calcolo dell'energia di esercizio secondo le norme SIA 380/1, 382/2 e 387/4, le energie non rinnovabili utilizzata per il funzionamento dell'edificio sono al di sotto dei valori limite degli standard Minergie-A o -P?</t>
  </si>
  <si>
    <t>Verfügt das Gebäude über eine Wärme- und (Kälte)erzeugung, welche auf erneuerbare Energieträgern basiert?</t>
  </si>
  <si>
    <t>Le bâtiment dispose-t-il d'une production de chaleur et de (refroidissement) basée sur des énergies renouvelables ?</t>
  </si>
  <si>
    <t>L'edificio dispone di un sistema di produzione di calore e (riscaldamento) basato su fonti di energia rinnovabile?</t>
  </si>
  <si>
    <r>
      <t>Liegen die emittierten Treibhausgase für den Betrieb des Bauvorhabens unterhalb von 2.5kg/m</t>
    </r>
    <r>
      <rPr>
        <vertAlign val="superscript"/>
        <sz val="11"/>
        <rFont val="Calibri"/>
        <family val="2"/>
        <scheme val="minor"/>
      </rPr>
      <t>2</t>
    </r>
    <r>
      <rPr>
        <sz val="11"/>
        <rFont val="Calibri"/>
        <family val="2"/>
        <scheme val="minor"/>
      </rPr>
      <t xml:space="preserve"> </t>
    </r>
    <r>
      <rPr>
        <vertAlign val="subscript"/>
        <sz val="11"/>
        <rFont val="Calibri"/>
        <family val="2"/>
        <scheme val="minor"/>
      </rPr>
      <t>EBF</t>
    </r>
    <r>
      <rPr>
        <sz val="11"/>
        <rFont val="Calibri"/>
        <family val="2"/>
        <scheme val="minor"/>
      </rPr>
      <t xml:space="preserve">?	</t>
    </r>
  </si>
  <si>
    <r>
      <t>Les gaz à effet de serre émises de l'exploitation du projet de construction sont-elles inférieures à 2.5kg/m</t>
    </r>
    <r>
      <rPr>
        <vertAlign val="superscript"/>
        <sz val="11"/>
        <rFont val="Calibri"/>
        <family val="2"/>
        <scheme val="minor"/>
      </rPr>
      <t>2</t>
    </r>
    <r>
      <rPr>
        <sz val="11"/>
        <rFont val="Calibri"/>
        <family val="2"/>
        <scheme val="minor"/>
      </rPr>
      <t xml:space="preserve"> de SRE ?</t>
    </r>
  </si>
  <si>
    <r>
      <t>Le emsissioni di gas a effetto serra nell'esecizio dell'immobile in progetto sono inferiori a 2,5 kg/m</t>
    </r>
    <r>
      <rPr>
        <vertAlign val="superscript"/>
        <sz val="11"/>
        <rFont val="Calibri"/>
        <family val="2"/>
        <scheme val="minor"/>
      </rPr>
      <t>2</t>
    </r>
    <r>
      <rPr>
        <sz val="11"/>
        <rFont val="Calibri"/>
        <family val="2"/>
        <scheme val="minor"/>
      </rPr>
      <t xml:space="preserve"> A</t>
    </r>
    <r>
      <rPr>
        <vertAlign val="subscript"/>
        <sz val="11"/>
        <rFont val="Calibri"/>
        <family val="2"/>
        <scheme val="minor"/>
      </rPr>
      <t>E</t>
    </r>
    <r>
      <rPr>
        <sz val="11"/>
        <rFont val="Calibri"/>
        <family val="2"/>
        <scheme val="minor"/>
      </rPr>
      <t xml:space="preserve">?	</t>
    </r>
  </si>
  <si>
    <t>Ist eine energetische Betriebsoptimierung unmittelbar nach Übergabe (eBO*) vorgesehen?</t>
  </si>
  <si>
    <t>Une optimisation énergétique de l’exploitation est-elle prévue immédiatement après la réception (OéE) ?</t>
  </si>
  <si>
    <t>È prevista una ottimizzazione energetica dell’esercizio in seguito alla consegna dell’opera (OeE*)?</t>
  </si>
  <si>
    <t>Wird eine höhere Anzahl Veloabstellplätze erstellt als gesetzlich erforderlich ist? (z.B. beim Wohnen: 1 Veloparkplatz pro Zimmer; beim Büro 2 Veloparkplätze pro 10 Mitarbeitende oder gemäss Wegleitung des ASTRA berechnet)</t>
  </si>
  <si>
    <t>Le nombre de places de parking pour vélos est-il plus élevé que les exigences légales ? (p. ex pour les logements : 1 place de stationnement pour vélos par chambre ; pour les bureaux : 2 places de stationnement pour vélos pour 10 employés ou calculées selon les directives de l'OFROU)</t>
  </si>
  <si>
    <t>Si sta creando un numero di parcheggi per biciclette superiore a quello richiesto dalla legge? (ad es., per le abitazioni: 1 parcheggio per biciclette per stanza; per società di servizi: 2 parcheggi per biciclette ogni 10 collaboratori o calcolati secondo le linee guida dell'USTRA)</t>
  </si>
  <si>
    <t>Unterstützt die geplante Ladeinfrastruktur bidirektionale Ladeströme?</t>
  </si>
  <si>
    <t>L'infrastructure de recharge prévue prend-elle en charge les flux de charge bidirectionnels ?</t>
  </si>
  <si>
    <t>L'infrastruttura di ricarica prevista supporta i flussi di ricarica bidirezionali?</t>
  </si>
  <si>
    <t>Pre-Check SNBS 2023.1 Edificio</t>
  </si>
  <si>
    <t>Pour les questions du 1er degré, une réponse par "non", "en partie" ou "je ne sais pas" entraîne des questions supplémentaires.</t>
  </si>
  <si>
    <t>Dans le même tableau, les résultats de chaque critère sont reportés de la manière expliquée plus tôt dans l'introduction.
(obstacle = rouge, encadré et gras / insuffisant = rouge / suffisant = vert / rempli = vert, tracé et gras)</t>
  </si>
  <si>
    <t>Dans le cadre d'une certification, les 35 critères sont évalués avec une note de 1 à 6. La note globale d’un projet correspond à la moyenne arithmétique de tous les
critères. À titre purement informatif, des notes intermédiaires sont attribuées aux trois domaines ''Société'', ''Economie'' et ''Environnement''. Les niveaux du certificat suivantes peuvent être obtenues : ''Platine'' (pour une note globale entre 5.5 et 6.0), ''Or'' (entre 5.0 et 5.4) et ''Argent'' (entre 4.0 et 4.9).</t>
  </si>
  <si>
    <t>Vous pouvez à tout moment activer ou désactiver le menu en haut de page. Celui-ci peut proposer des tableaux d'aide et des liens de navigation pour les différentes pages du Pre-Check.
Si vous ne parvenez pas à lire l'ensemble du texte d'une question, essayez d'ajuster le zoom de la fenêtre.</t>
  </si>
  <si>
    <t>Si nécessaire, [référence numérotée] à ''Info''</t>
  </si>
  <si>
    <t>Bei Fragen 2. Grades ergeben nicht eindeutige Antworten (z. B. ''weiss nicht'', ''teilweise'') – abhängig von der Fragenanzahl – zwischen 4 und 33 % der Nachhaltigkeitsbewertung, negative Antworten 0%.</t>
  </si>
  <si>
    <t>Per le domande di 2° grado, le risposte ambigua (ad es., ''non lo so'', ''in parte'') - a seconda del numero di domande - rappresentano tra il 4 e il 33% del punteggio di sostenibilità, le risposte negative lo 0%.</t>
  </si>
  <si>
    <t>Une réponse négative ou ambiguë n'accorde aucun point. Toutefois, des points peuvent être obtenus grâce aux questions supplémentaires, idéalement jusqu'à une évaluation à 100 %.</t>
  </si>
  <si>
    <t>Une réponse positive donne 100 % de l'évaluation de durabilité.</t>
  </si>
  <si>
    <t>Pour les questions de 2e degré, les réponses non concluantes (par exemple, "je ne sais pas", "partiellement") donnent, en fonction du nombre de questions, entre 4 et 33 % de l'évaluation de durabilité, tandis que les réponses négatives donnent 0 %.</t>
  </si>
  <si>
    <t xml:space="preserve">La structure du ''Check Climat'' se base sur les critères SNBS. Certains de ces critères sont repris tels quels en tant que thèmes transversaux relatifs à la protection du climat et à l'adaptation au changement climatique. De nouvelles questions liées au climat sont également posées. Les critères dont les objectifs ne sont pas directement liés au changement climatique ne sont pas pris en compte dans l'évaluation du ''Check Climat''. 
En tout, 36 critères sont évalués dans le ''Check Climat'' parmi 10 thèmes : </t>
  </si>
  <si>
    <t>Les questions ajoutées par le ''Check Climat'' sont numérotées selon les critères correspondants et marquées d'un ''C''.</t>
  </si>
  <si>
    <t>Nell'ambito del processo di certificazione, a ciascuno dei 35 criteri viene attribuito un punteggio da 1 a 6. Il voto complessivo di un progetto è la media aritmetica di tutti i criteri. Vengono indicati dei punteggi secondari per le tre aree ''Società'', ''Economia'' e ''Ambiente'', ma questi hanno valenza puramente informativa. Si possono ottenere i seguenti riconoscimenti: ''Platino'' (con un voto complessivo compreso tra 5.5 e 6), ''Oro'' (da 5 a 5.4) e ''Argento'' (da 4 a 4.9).</t>
  </si>
  <si>
    <t>Durante la fase di inizializzazione (fase 0 del SIA), le specifiche di progetto edilizio sono state esaminate con il committente in relazione alle direttive generali (federali, cantonali, comunali, di quartiere) e gli obiettivi generali e individuali sono stati definiti e fissati nel capitolato d’oneri?</t>
  </si>
  <si>
    <r>
      <t xml:space="preserve">Il progetto viene sviluppato nell'ambito di un concorso o di un contratto di studio con una procedura di selezione dei progettisti [progettisti o progetti?]? (idealmente secondo la norma SIA 142 o 143) </t>
    </r>
    <r>
      <rPr>
        <sz val="11"/>
        <color rgb="FFFF0000"/>
        <rFont val="Calibri"/>
        <family val="2"/>
        <scheme val="minor"/>
      </rPr>
      <t xml:space="preserve">(Concorso secondo la norma SIA 142:2009 “Regolamento dei concorsi d'architettura e d'ingegneria”, contratto di studio secondo la norma SIA 143:2009 “Regolamento dei mandati di studio paralleli d'architettura e d'ingegneria”)     </t>
    </r>
  </si>
  <si>
    <t>Klima-Check ein- oder ausblenden</t>
  </si>
  <si>
    <t xml:space="preserve">Wird das Projekt im Rahmen eines Wettbewerbs oder einem Studienauftrag mit Planerwahlverfahren erarbeitet? (im Idealfall gemäss Ordnung SIA 142 oder 143) (Wettbewerb nach SIA 142:2009 ''Ordnung für Architektur- und Ingenieurwettbewerbe'', Studienauftrag nach SIA 143:2009 ''Ordnung für Architektur- und Ingenieurstudienaufträge'')     </t>
  </si>
  <si>
    <t>Est-il prévu d'installer dispositif de mesure pour un monitoring à long terme du confort thermique et l'évaluation durable des résultats obtenus est-elle 
assurée ?</t>
  </si>
  <si>
    <t>La mise en place d'une infrastructure de recharge pour l'électromobilité est-elle prévue aussi bien pour le trafic individuel motorisé que pour la mobilité 
douce ?</t>
  </si>
  <si>
    <t>Une analyse a-t-elle été conduite pour relever les éléments naturels de valeur dans les environs (inventaire des surfaces et des espèces rares ou 
protégées) ?</t>
  </si>
  <si>
    <t>Tabelle 6: Identifizierung Stolpersteine / Ungenügende Kriterien</t>
  </si>
  <si>
    <t xml:space="preserve">Während der Beantwortung der Fragen wird eine vollständige Übersicht der Kriterien im oberen Bereich des Ansichtsfensters dargestellt und laufend aktualisiert. Sie kann mit den Navigationshilfen oben ein- und ausgeblendet werden.
</t>
  </si>
  <si>
    <t>Pendant que vous répondez aux questions, vous aurez toujours accès à une liste complète des critères dans un menu en haut de page.</t>
  </si>
  <si>
    <t>Mentre si risponde alle domande, nella parte superiore della finestra di visualizzazione viene visualizzata una panoramica completa degli criteri, che viene aggiornata continuamente. È possibile visualizzarla e nasconderla utilizzando gli ausili di navigazione in alto.</t>
  </si>
  <si>
    <t>Le critère est maintenant indiqué en vert, tracé et en caractères gras. Il ne devrait pas représenter d'obstacle à la réalisation d'un projet durable.</t>
  </si>
  <si>
    <t>Die Kriterien werden entsprechend der Bewertung wie folgt angezeigt:</t>
  </si>
  <si>
    <t>Les criterès seront représentés en fonction de l'évaluation comme suit :</t>
  </si>
  <si>
    <t>Gli criteri sono visualizzati come segue in base alla valutazione:</t>
  </si>
  <si>
    <t>Zur besseren Lesbarkeit der Ergebnisse werden die als "ungenügend" oder als "Stolperstein" bewerteten Kriterien in einer dritten Abbildung aufgezeigt (vgl. Liste unten).</t>
  </si>
  <si>
    <t>Pour une meilleure lisibilité des résultats, les critères jugés comme "insuffisants" ou "obstacles" seront présentés dans un troisième diagramme (voyez la liste ci-dessous):</t>
  </si>
  <si>
    <t>Les critères suivants sont évalués comme insuffisants et nécessitent des modifications de base pour devenir durables :</t>
  </si>
  <si>
    <t>Pour chaque domaine (société, économie et environnement), un maximum d'un indicateur insuffisant est accepté pour une nouvelle construction. Cependant, seulement deux critères insuffisants au total sont acceptés pour la  certification de niveau ''Or'' et trois pour la certification de niveau ''Argent''. Une certification de niveau ''Platine'' ne peut pas être atteint en cas de notes insuffisantes.</t>
  </si>
  <si>
    <t>Les critères insuffisants et les obstacles à la réalisation d'un projet durable sont mis en évidence pour chaque domaine.</t>
  </si>
  <si>
    <t>Les critères suivants sont évalués insuffisants et nécessitent des modifications de base pour devenir durables :</t>
  </si>
  <si>
    <t>Les critères suivants peuvent représenter un obstacle à la réalisation d'un projet durable sans modifications conséquentes :</t>
  </si>
  <si>
    <t>De plus, les critères sont évalués selon le code graphique utilisé en haut du questionnaire : rouge, encadré et gras pour un indicateur risquant de devenir un obstacle, rouge pour un indicateur insuffisant, vert pour un indicateur suffisant et enfin vert, tracé et gras pour un indicateur dont les exigences sont remplies.</t>
  </si>
  <si>
    <t>En cas de rénovation, une certification SNBS présente une tolérance accrue dans l'évaluation des critères suivants, pour autant que la note du thème reste suffisante :</t>
  </si>
  <si>
    <t>À gauche : Les critères en lien avec la question
À droite : Liens [numérotés] vers la ''Info''</t>
  </si>
  <si>
    <t>Les questions d'ordre général couvrent plusieurs critères et parfois même différents domaines. Les réponses peuvent aider à raccourcir considérablement le questionnaire.</t>
  </si>
  <si>
    <t>Le ''Check Climat SNBS 2023.1 Bâtiment'' est un module supplémentaire et facultatif du ''SNBS 2023.1 Bâtiment''. Il détermine l'efficacité d'un bâtiment face aux changements climatiques. D'une part, il évalue dans quelle mesure un bâtiment évalué est préparé aux changements climatiques et, d'autre part, si le projet peut contribuer à une réduction des effets des changements climatiques sur ses utilisateurs et son environnement. Les questions du ''Check Climat'' sont basées sur la structure des critères SNBS et elles sont posées dans le questionnaire ''Pre-Check''. L'outil d'évaluation permet également de ne répondre qu'à l'un des deux modules (''Pre-Check'' ou ''Check Climat''). Les deux modules sont décrits en détails dans l’intro. Il est possible de changer le module à tout moment.</t>
  </si>
  <si>
    <t>Le critère est maintenant indiqué en rouge, encadré et en caractères gras. Il représente probablement un obstacle à un projet durable.</t>
  </si>
  <si>
    <t>Wird die Kriterienbeschriftung grün, durchgestrichen und in Fettschrift abgebildet, stellt das Kriterium auf dem Weg zu einem gesamtheitlich nachhaltigen Projekt höchstwahrscheinlich kein Problem dar.</t>
  </si>
  <si>
    <t xml:space="preserve">Wird die Indikatorbeschriftung rot, umrahmt und in Fettschrift abgebildet, stellt das Kriterium auf dem Weg zu einem gesamtheitlich nachhaltigen Projekt wahrscheinlich einen Stolperstein dar. </t>
  </si>
  <si>
    <t>Die Ergebnisse zum ''Klima-Check'' werden auf einem eigenständigen Ergebnisblatt dargestellt. Wie beim ''Pre-Check'' werden die Kriterien als ''Stolpersteine'', ''ungenügend'', ''genügend'' oder ''gut'' dargestellt. Die Kriterien des ''Klima-Check'' sind, wie die ''Pre-Check''-Kriterien, den drei Nachhaltigkeitsbereichen Gesellschaft, Wirtschaft und Umwelt zugeordnet. Ein prozentualer Erfüllungsgrad der Klima-Anforderungen ist auf der linken Seite der Darstellung für den jeweiligen Bereich in horizontaler Balkenform ersichtlich.</t>
  </si>
  <si>
    <t>Diese übergeordneten Fragen decken mehrere Kriterien, teilweise auch aus verschiedenen Themenbereichen ab.</t>
  </si>
  <si>
    <t>Maximale Glasflächenzahl bezogen auf RaumKriterien</t>
  </si>
  <si>
    <t>Se l'etichetta delle criterio è verde, barrata e in grassetto, è probabile che il criterio non rappresenti un problema nel percorso verso un progetto complessivamente sostenibile.</t>
  </si>
  <si>
    <t>Se l'etichetta delil criterio è rossa, incorniciata e in grassetto, è probabile che il criterio rappresenti un ostacolo sulla strada verso un progetto complessivamente sostenibile.</t>
  </si>
  <si>
    <t xml:space="preserve">Per facilitare la lettura dei risultati, gli criteri classificati come ''insufficiente'' o ''ostacolo'' sono riportati in una terza figura (vedi elenco sotto).
</t>
  </si>
  <si>
    <t>I seguenti criteri sono classificati come “insufficienti” e richiedono aggiustamenti fondamentali per soddisfare i requisiti di sostenibilità:</t>
  </si>
  <si>
    <t xml:space="preserve">I risultati del ''Check Clima'' sono presentati in un foglio di risultati separato. Come per il ''Pre-Check'', gli criteri sono presentati come ''ostacolo'', ''insufficiente'', ''sufficiente'' o ''buono''. Come i criteri del ''Pre-Check'', anche i criteri del ''Check Clima'' sono assegnati alle tre aree di sostenibilità: società, economia e ambiente. Il grado di adempimento percentuale dei requisiti climatici è indicato sul lato sinistro del grafico per la rispettiva area sotto forma di barra orizzontale.
</t>
  </si>
  <si>
    <t>Queste domande generali coprono diversi criteri e sono talvolta appartenenti a diverse aree tematiche.</t>
  </si>
  <si>
    <t xml:space="preserve">               Préservation des ressources &amp;</t>
  </si>
  <si>
    <t xml:space="preserve">            protection de l’environnement</t>
  </si>
  <si>
    <t xml:space="preserve">                  Ressourcenschonung </t>
  </si>
  <si>
    <t xml:space="preserve">               Potentiel d’utilisation du bâtim.</t>
  </si>
  <si>
    <t xml:space="preserve">              &amp; de son emplacement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</si>
</sst>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CHF&quot;\ * #,##0.00_ ;_ &quot;CHF&quot;\ * \-#,##0.00_ ;_ &quot;CHF&quot;\ * &quot;-&quot;??_ ;_ @_ "/>
    <numFmt numFmtId="164" formatCode=";;;"/>
    <numFmt numFmtId="165" formatCode="0.0"/>
  </numFmts>
  <fonts count="148">
    <font>
      <sz val="11"/>
      <color theme="1"/>
      <name val="Calibri"/>
      <family val="2"/>
      <scheme val="minor"/>
    </font>
    <font>
      <sz val="8"/>
      <color theme="1"/>
      <name val="Calibri"/>
      <family val="2"/>
      <scheme val="minor"/>
    </font>
    <font>
      <b/>
      <sz val="8"/>
      <color theme="0"/>
      <name val="Arial"/>
      <family val="2"/>
    </font>
    <font>
      <sz val="7"/>
      <color theme="1"/>
      <name val="Calibri"/>
      <family val="2"/>
      <scheme val="minor"/>
    </font>
    <font>
      <b/>
      <sz val="7"/>
      <color theme="0"/>
      <name val="Arial"/>
      <family val="2"/>
    </font>
    <font>
      <sz val="7"/>
      <name val="Arial"/>
      <family val="2"/>
    </font>
    <font>
      <b/>
      <sz val="14"/>
      <color theme="1"/>
      <name val="Calibri"/>
      <family val="2"/>
      <scheme val="minor"/>
    </font>
    <font>
      <i/>
      <sz val="11"/>
      <color theme="1"/>
      <name val="Calibri"/>
      <family val="2"/>
      <scheme val="minor"/>
    </font>
    <font>
      <sz val="11"/>
      <name val="Calibri"/>
      <family val="2"/>
      <scheme val="minor"/>
    </font>
    <font>
      <u/>
      <sz val="11"/>
      <color theme="10"/>
      <name val="Calibri"/>
      <family val="2"/>
      <scheme val="minor"/>
    </font>
    <font>
      <sz val="9"/>
      <name val="Calibri"/>
      <family val="2"/>
      <scheme val="minor"/>
    </font>
    <font>
      <sz val="16"/>
      <color theme="1"/>
      <name val="Calibri"/>
      <family val="2"/>
      <scheme val="minor"/>
    </font>
    <font>
      <sz val="26"/>
      <color theme="1"/>
      <name val="Calibri"/>
      <family val="2"/>
      <scheme val="minor"/>
    </font>
    <font>
      <sz val="10"/>
      <color theme="1"/>
      <name val="Calibri"/>
      <family val="2"/>
      <scheme val="minor"/>
    </font>
    <font>
      <b/>
      <sz val="11"/>
      <color theme="1"/>
      <name val="Calibri"/>
      <family val="2"/>
      <scheme val="minor"/>
    </font>
    <font>
      <sz val="11"/>
      <color theme="0" tint="-0.499984740745262"/>
      <name val="Calibri"/>
      <family val="2"/>
      <scheme val="minor"/>
    </font>
    <font>
      <sz val="8"/>
      <name val="Calibri"/>
      <family val="2"/>
      <scheme val="minor"/>
    </font>
    <font>
      <sz val="7"/>
      <name val="Calibri"/>
      <family val="2"/>
      <scheme val="minor"/>
    </font>
    <font>
      <sz val="8"/>
      <color theme="0" tint="-0.499984740745262"/>
      <name val="Calibri"/>
      <family val="2"/>
      <scheme val="minor"/>
    </font>
    <font>
      <sz val="7"/>
      <color theme="0" tint="-0.499984740745262"/>
      <name val="Calibri"/>
      <family val="2"/>
      <scheme val="minor"/>
    </font>
    <font>
      <sz val="11"/>
      <color theme="1"/>
      <name val="Calibri"/>
      <family val="2"/>
      <scheme val="minor"/>
    </font>
    <font>
      <b/>
      <i/>
      <sz val="24"/>
      <color theme="1"/>
      <name val="Calibri"/>
      <family val="2"/>
      <scheme val="minor"/>
    </font>
    <font>
      <b/>
      <sz val="12"/>
      <color theme="1"/>
      <name val="Calibri"/>
      <family val="2"/>
      <scheme val="minor"/>
    </font>
    <font>
      <b/>
      <sz val="11"/>
      <name val="Calibri"/>
      <family val="2"/>
      <scheme val="minor"/>
    </font>
    <font>
      <u/>
      <sz val="24"/>
      <color theme="1"/>
      <name val="Verdana"/>
      <family val="2"/>
    </font>
    <font>
      <sz val="15"/>
      <color theme="0" tint="-0.499984740745262"/>
      <name val="Calibri"/>
      <family val="2"/>
      <scheme val="minor"/>
    </font>
    <font>
      <sz val="12"/>
      <color theme="1"/>
      <name val="Calibri"/>
      <family val="2"/>
      <scheme val="minor"/>
    </font>
    <font>
      <sz val="9"/>
      <color theme="1"/>
      <name val="Calibri"/>
      <family val="2"/>
      <scheme val="minor"/>
    </font>
    <font>
      <i/>
      <sz val="11"/>
      <color theme="0" tint="-0.499984740745262"/>
      <name val="Calibri"/>
      <family val="2"/>
      <scheme val="minor"/>
    </font>
    <font>
      <i/>
      <sz val="10"/>
      <color theme="0" tint="-0.499984740745262"/>
      <name val="Calibri"/>
      <family val="2"/>
      <scheme val="minor"/>
    </font>
    <font>
      <sz val="13.5"/>
      <color theme="0" tint="-0.499984740745262"/>
      <name val="Calibri"/>
      <family val="2"/>
      <scheme val="minor"/>
    </font>
    <font>
      <sz val="13"/>
      <color theme="0" tint="-0.499984740745262"/>
      <name val="Calibri Light"/>
      <family val="2"/>
      <scheme val="major"/>
    </font>
    <font>
      <sz val="20"/>
      <name val="Verdana"/>
      <family val="2"/>
    </font>
    <font>
      <sz val="11"/>
      <color rgb="FFFFD1D1"/>
      <name val="Calibri"/>
      <family val="2"/>
      <scheme val="minor"/>
    </font>
    <font>
      <sz val="11"/>
      <color rgb="FFDFF1CB"/>
      <name val="Calibri"/>
      <family val="2"/>
      <scheme val="minor"/>
    </font>
    <font>
      <sz val="20"/>
      <color rgb="FF00B050"/>
      <name val="Verdana"/>
      <family val="2"/>
    </font>
    <font>
      <sz val="11"/>
      <color theme="0" tint="-0.34998626667073579"/>
      <name val="Calibri"/>
      <family val="2"/>
      <scheme val="minor"/>
    </font>
    <font>
      <sz val="8"/>
      <color rgb="FFC00000"/>
      <name val="Calibri"/>
      <family val="2"/>
      <scheme val="minor"/>
    </font>
    <font>
      <b/>
      <sz val="8"/>
      <name val="Calibri"/>
      <family val="2"/>
      <scheme val="minor"/>
    </font>
    <font>
      <b/>
      <sz val="6"/>
      <color theme="0"/>
      <name val="Arial"/>
      <family val="2"/>
    </font>
    <font>
      <b/>
      <sz val="7"/>
      <color theme="1"/>
      <name val="Calibri"/>
      <family val="2"/>
      <scheme val="minor"/>
    </font>
    <font>
      <sz val="14"/>
      <color theme="1"/>
      <name val="Calibri"/>
      <family val="2"/>
      <scheme val="minor"/>
    </font>
    <font>
      <i/>
      <sz val="14"/>
      <color theme="0" tint="-0.499984740745262"/>
      <name val="Calibri"/>
      <family val="2"/>
      <scheme val="minor"/>
    </font>
    <font>
      <u/>
      <sz val="11"/>
      <color rgb="FF0070C0"/>
      <name val="Calibri"/>
      <family val="2"/>
      <scheme val="minor"/>
    </font>
    <font>
      <b/>
      <sz val="9"/>
      <color theme="0"/>
      <name val="Arial"/>
      <family val="2"/>
    </font>
    <font>
      <i/>
      <sz val="8"/>
      <color theme="0" tint="-0.499984740745262"/>
      <name val="Calibri"/>
      <family val="2"/>
      <scheme val="minor"/>
    </font>
    <font>
      <sz val="8"/>
      <name val="Arial"/>
      <family val="2"/>
    </font>
    <font>
      <sz val="8"/>
      <color theme="0"/>
      <name val="Calibri"/>
      <family val="2"/>
      <scheme val="minor"/>
    </font>
    <font>
      <i/>
      <u/>
      <sz val="14"/>
      <color theme="0" tint="-0.499984740745262"/>
      <name val="Calibri"/>
      <family val="2"/>
      <scheme val="minor"/>
    </font>
    <font>
      <sz val="7"/>
      <color theme="0"/>
      <name val="Calibri"/>
      <family val="2"/>
      <scheme val="minor"/>
    </font>
    <font>
      <b/>
      <sz val="14"/>
      <name val="Calibri"/>
      <family val="2"/>
      <scheme val="minor"/>
    </font>
    <font>
      <i/>
      <sz val="11"/>
      <name val="Calibri"/>
      <family val="2"/>
      <scheme val="minor"/>
    </font>
    <font>
      <sz val="12"/>
      <name val="Calibri"/>
      <family val="2"/>
      <scheme val="minor"/>
    </font>
    <font>
      <i/>
      <sz val="12"/>
      <color theme="0" tint="-0.499984740745262"/>
      <name val="Calibri"/>
      <family val="2"/>
      <scheme val="minor"/>
    </font>
    <font>
      <sz val="24"/>
      <name val="Calibri"/>
      <family val="2"/>
      <scheme val="minor"/>
    </font>
    <font>
      <sz val="13.5"/>
      <color theme="0" tint="-0.499984740745262"/>
      <name val="Calibri Light"/>
      <family val="2"/>
      <scheme val="major"/>
    </font>
    <font>
      <b/>
      <sz val="13.5"/>
      <color theme="0" tint="-0.499984740745262"/>
      <name val="Calibri Light"/>
      <family val="2"/>
      <scheme val="major"/>
    </font>
    <font>
      <i/>
      <sz val="10"/>
      <name val="Calibri"/>
      <family val="2"/>
      <scheme val="minor"/>
    </font>
    <font>
      <i/>
      <sz val="8"/>
      <name val="Calibri"/>
      <family val="2"/>
      <scheme val="minor"/>
    </font>
    <font>
      <i/>
      <sz val="12"/>
      <name val="Calibri"/>
      <family val="2"/>
      <scheme val="minor"/>
    </font>
    <font>
      <sz val="26"/>
      <name val="Calibri"/>
      <family val="2"/>
      <scheme val="minor"/>
    </font>
    <font>
      <sz val="15"/>
      <name val="Calibri"/>
      <family val="2"/>
      <scheme val="minor"/>
    </font>
    <font>
      <sz val="14"/>
      <name val="Calibri"/>
      <family val="2"/>
      <scheme val="minor"/>
    </font>
    <font>
      <u/>
      <sz val="11"/>
      <color theme="8"/>
      <name val="Calibri"/>
      <family val="2"/>
      <scheme val="minor"/>
    </font>
    <font>
      <sz val="11"/>
      <color rgb="FF0070C0"/>
      <name val="Calibri"/>
      <family val="2"/>
      <scheme val="minor"/>
    </font>
    <font>
      <b/>
      <sz val="8"/>
      <color theme="1"/>
      <name val="Calibri"/>
      <family val="2"/>
      <scheme val="minor"/>
    </font>
    <font>
      <sz val="36"/>
      <name val="Calibri"/>
      <family val="2"/>
      <scheme val="minor"/>
    </font>
    <font>
      <sz val="11"/>
      <color rgb="FFFF0000"/>
      <name val="Calibri"/>
      <family val="2"/>
      <scheme val="minor"/>
    </font>
    <font>
      <sz val="11"/>
      <color theme="8"/>
      <name val="Calibri"/>
      <family val="2"/>
      <scheme val="minor"/>
    </font>
    <font>
      <sz val="13"/>
      <name val="Verdana"/>
      <family val="2"/>
    </font>
    <font>
      <b/>
      <sz val="10"/>
      <name val="Calibri"/>
      <family val="2"/>
    </font>
    <font>
      <sz val="10"/>
      <color theme="0" tint="-0.499984740745262"/>
      <name val="Calibri"/>
      <family val="2"/>
    </font>
    <font>
      <sz val="9"/>
      <color rgb="FFFF0000"/>
      <name val="Calibri"/>
      <family val="2"/>
      <scheme val="minor"/>
    </font>
    <font>
      <i/>
      <sz val="10"/>
      <color rgb="FF0070C0"/>
      <name val="Calibri"/>
      <family val="2"/>
      <scheme val="minor"/>
    </font>
    <font>
      <sz val="11"/>
      <color rgb="FF000000"/>
      <name val="Calibri"/>
      <family val="2"/>
      <scheme val="minor"/>
    </font>
    <font>
      <sz val="14"/>
      <color theme="0" tint="-0.499984740745262"/>
      <name val="Calibri"/>
      <family val="2"/>
      <scheme val="minor"/>
    </font>
    <font>
      <sz val="10"/>
      <name val="Calibri"/>
      <family val="2"/>
      <scheme val="minor"/>
    </font>
    <font>
      <sz val="9"/>
      <color theme="9" tint="-0.249977111117893"/>
      <name val="Calibri"/>
      <family val="2"/>
      <scheme val="minor"/>
    </font>
    <font>
      <b/>
      <strike/>
      <sz val="9"/>
      <color theme="9" tint="-0.249977111117893"/>
      <name val="Calibri"/>
      <family val="2"/>
      <scheme val="minor"/>
    </font>
    <font>
      <b/>
      <strike/>
      <sz val="7"/>
      <color theme="9" tint="-0.249977111117893"/>
      <name val="Calibri"/>
      <family val="2"/>
      <scheme val="minor"/>
    </font>
    <font>
      <sz val="7"/>
      <color theme="9" tint="-0.249977111117893"/>
      <name val="Calibri"/>
      <family val="2"/>
      <scheme val="minor"/>
    </font>
    <font>
      <b/>
      <sz val="7"/>
      <color rgb="FFFF0000"/>
      <name val="Calibri"/>
      <family val="2"/>
      <scheme val="minor"/>
    </font>
    <font>
      <b/>
      <sz val="9"/>
      <color rgb="FFFF0000"/>
      <name val="Calibri"/>
      <family val="2"/>
      <scheme val="minor"/>
    </font>
    <font>
      <b/>
      <sz val="12"/>
      <name val="Calibri"/>
      <family val="2"/>
      <scheme val="minor"/>
    </font>
    <font>
      <sz val="7"/>
      <color rgb="FFFF0000"/>
      <name val="Calibri"/>
      <family val="2"/>
      <scheme val="minor"/>
    </font>
    <font>
      <sz val="11"/>
      <color theme="0"/>
      <name val="Calibri"/>
      <family val="2"/>
      <scheme val="minor"/>
    </font>
    <font>
      <sz val="8"/>
      <color theme="7" tint="0.79998168889431442"/>
      <name val="Calibri"/>
      <family val="2"/>
      <scheme val="minor"/>
    </font>
    <font>
      <b/>
      <sz val="9"/>
      <color theme="1"/>
      <name val="Calibri"/>
      <family val="2"/>
      <scheme val="minor"/>
    </font>
    <font>
      <b/>
      <sz val="48"/>
      <color theme="9" tint="0.39997558519241921"/>
      <name val="Calibri"/>
      <family val="2"/>
      <scheme val="minor"/>
    </font>
    <font>
      <sz val="10"/>
      <color theme="9" tint="0.39997558519241921"/>
      <name val="Courier New"/>
      <family val="3"/>
    </font>
    <font>
      <sz val="10"/>
      <color theme="9"/>
      <name val="Courier New"/>
      <family val="3"/>
    </font>
    <font>
      <b/>
      <sz val="48"/>
      <color theme="9"/>
      <name val="Calibri"/>
      <family val="2"/>
      <scheme val="minor"/>
    </font>
    <font>
      <sz val="11"/>
      <color theme="9"/>
      <name val="Calibri"/>
      <family val="2"/>
      <scheme val="minor"/>
    </font>
    <font>
      <b/>
      <sz val="9"/>
      <color theme="0"/>
      <name val="Calibri"/>
      <family val="2"/>
      <scheme val="minor"/>
    </font>
    <font>
      <b/>
      <sz val="7"/>
      <color theme="1"/>
      <name val="Calibri"/>
      <family val="2"/>
    </font>
    <font>
      <sz val="7"/>
      <color theme="1"/>
      <name val="Arial"/>
      <family val="2"/>
    </font>
    <font>
      <b/>
      <sz val="7"/>
      <color theme="0"/>
      <name val="Calibri"/>
      <family val="2"/>
      <scheme val="minor"/>
    </font>
    <font>
      <sz val="11"/>
      <color rgb="FFE3061D"/>
      <name val="Calibri"/>
      <family val="2"/>
      <scheme val="minor"/>
    </font>
    <font>
      <vertAlign val="subscript"/>
      <sz val="11"/>
      <name val="Calibri"/>
      <family val="2"/>
      <scheme val="minor"/>
    </font>
    <font>
      <vertAlign val="subscript"/>
      <sz val="11"/>
      <color theme="1"/>
      <name val="Calibri"/>
      <family val="2"/>
      <scheme val="minor"/>
    </font>
    <font>
      <sz val="4.4000000000000004"/>
      <name val="Calibri"/>
      <family val="2"/>
    </font>
    <font>
      <vertAlign val="superscript"/>
      <sz val="11"/>
      <name val="Calibri"/>
      <family val="2"/>
      <scheme val="minor"/>
    </font>
    <font>
      <sz val="11"/>
      <name val="Aptos Narrow"/>
      <family val="2"/>
    </font>
    <font>
      <b/>
      <sz val="20.5"/>
      <color rgb="FF5C666E"/>
      <name val="San serif"/>
    </font>
    <font>
      <b/>
      <sz val="20.5"/>
      <color rgb="FF5C666E"/>
      <name val="Arial"/>
      <family val="2"/>
    </font>
    <font>
      <b/>
      <sz val="11"/>
      <color rgb="FFFF0000"/>
      <name val="Calibri"/>
      <family val="2"/>
      <scheme val="minor"/>
    </font>
    <font>
      <sz val="11"/>
      <color theme="1" tint="0.499984740745262"/>
      <name val="Calibri"/>
      <family val="2"/>
      <scheme val="minor"/>
    </font>
    <font>
      <sz val="10"/>
      <color theme="1" tint="0.499984740745262"/>
      <name val="Calibri"/>
      <family val="2"/>
      <scheme val="minor"/>
    </font>
    <font>
      <i/>
      <sz val="10"/>
      <color theme="1" tint="0.499984740745262"/>
      <name val="Calibri"/>
      <family val="2"/>
      <scheme val="minor"/>
    </font>
    <font>
      <sz val="20.5"/>
      <color rgb="FF5C666E"/>
      <name val="Arial Nova Light"/>
      <family val="2"/>
    </font>
    <font>
      <sz val="20"/>
      <color rgb="FFE30613"/>
      <name val="Verdana"/>
      <family val="2"/>
    </font>
    <font>
      <sz val="20"/>
      <color rgb="FF5DC4E1"/>
      <name val="Verdana"/>
      <family val="2"/>
    </font>
    <font>
      <sz val="20"/>
      <color rgb="FF76B729"/>
      <name val="Verdana"/>
      <family val="2"/>
    </font>
    <font>
      <sz val="11"/>
      <color theme="1"/>
      <name val="Aptos"/>
      <family val="2"/>
    </font>
    <font>
      <sz val="11"/>
      <color rgb="FF5DC4E1"/>
      <name val="Calibri"/>
      <family val="2"/>
      <scheme val="minor"/>
    </font>
    <font>
      <sz val="11"/>
      <color rgb="FF76B729"/>
      <name val="Calibri"/>
      <family val="2"/>
      <scheme val="minor"/>
    </font>
    <font>
      <b/>
      <sz val="16"/>
      <color theme="1"/>
      <name val="Calibri"/>
      <family val="2"/>
      <scheme val="minor"/>
    </font>
    <font>
      <sz val="8"/>
      <color rgb="FFFF0000"/>
      <name val="Calibri"/>
      <family val="2"/>
      <scheme val="minor"/>
    </font>
    <font>
      <b/>
      <sz val="16"/>
      <color theme="0"/>
      <name val="Calibri"/>
      <family val="2"/>
      <scheme val="minor"/>
    </font>
    <font>
      <sz val="8"/>
      <color rgb="FF5DC4E1"/>
      <name val="Calibri"/>
      <family val="2"/>
      <scheme val="minor"/>
    </font>
    <font>
      <sz val="8"/>
      <color rgb="FF76B729"/>
      <name val="Calibri"/>
      <family val="2"/>
      <scheme val="minor"/>
    </font>
    <font>
      <sz val="11"/>
      <color rgb="FFE30613"/>
      <name val="Calibri"/>
      <family val="2"/>
      <scheme val="minor"/>
    </font>
    <font>
      <u/>
      <sz val="11"/>
      <color rgb="FF0563C1"/>
      <name val="Calibri"/>
      <family val="2"/>
      <scheme val="minor"/>
    </font>
    <font>
      <sz val="6.5"/>
      <color theme="1"/>
      <name val="Calibri"/>
      <family val="2"/>
      <scheme val="minor"/>
    </font>
    <font>
      <b/>
      <sz val="6.5"/>
      <color theme="0"/>
      <name val="Arial"/>
      <family val="2"/>
    </font>
    <font>
      <sz val="6.5"/>
      <color theme="0"/>
      <name val="Calibri"/>
      <family val="2"/>
      <scheme val="minor"/>
    </font>
    <font>
      <sz val="6.5"/>
      <name val="Calibri"/>
      <family val="2"/>
      <scheme val="minor"/>
    </font>
    <font>
      <sz val="6.5"/>
      <color theme="0" tint="-0.499984740745262"/>
      <name val="Calibri"/>
      <family val="2"/>
      <scheme val="minor"/>
    </font>
    <font>
      <sz val="6.5"/>
      <name val="Arial"/>
      <family val="2"/>
    </font>
    <font>
      <b/>
      <sz val="7"/>
      <color theme="9" tint="-0.249977111117893"/>
      <name val="Calibri"/>
      <family val="2"/>
      <scheme val="minor"/>
    </font>
    <font>
      <sz val="6.5"/>
      <color rgb="FF548235"/>
      <name val="Calibri"/>
      <family val="2"/>
      <scheme val="minor"/>
    </font>
    <font>
      <b/>
      <strike/>
      <sz val="6.5"/>
      <color rgb="FF548235"/>
      <name val="Calibri"/>
      <family val="2"/>
      <scheme val="minor"/>
    </font>
    <font>
      <b/>
      <strike/>
      <sz val="7"/>
      <color rgb="FFFF0000"/>
      <name val="Calibri"/>
      <family val="2"/>
      <scheme val="minor"/>
    </font>
    <font>
      <b/>
      <strike/>
      <sz val="9"/>
      <color rgb="FFFF0000"/>
      <name val="Calibri"/>
      <family val="2"/>
      <scheme val="minor"/>
    </font>
    <font>
      <b/>
      <sz val="8.5"/>
      <color theme="0"/>
      <name val="Calibri"/>
      <family val="2"/>
      <scheme val="minor"/>
    </font>
    <font>
      <sz val="8.5"/>
      <color theme="1"/>
      <name val="Calibri"/>
      <family val="2"/>
      <scheme val="minor"/>
    </font>
    <font>
      <b/>
      <sz val="6.5"/>
      <color theme="0"/>
      <name val="Calibri"/>
      <family val="2"/>
      <scheme val="minor"/>
    </font>
    <font>
      <b/>
      <sz val="6.5"/>
      <color theme="1"/>
      <name val="Calibri"/>
      <family val="2"/>
    </font>
    <font>
      <b/>
      <sz val="6.5"/>
      <color theme="1"/>
      <name val="Calibri"/>
      <family val="2"/>
      <scheme val="minor"/>
    </font>
    <font>
      <sz val="12"/>
      <color rgb="FF0070C0"/>
      <name val="Calibri"/>
      <family val="2"/>
      <scheme val="minor"/>
    </font>
    <font>
      <b/>
      <sz val="9"/>
      <name val="Verdana"/>
      <family val="2"/>
    </font>
    <font>
      <b/>
      <sz val="7"/>
      <name val="Arial"/>
      <family val="2"/>
    </font>
    <font>
      <b/>
      <sz val="7"/>
      <name val="Calibri"/>
      <family val="2"/>
      <scheme val="minor"/>
    </font>
    <font>
      <b/>
      <strike/>
      <sz val="7"/>
      <name val="Calibri"/>
      <family val="2"/>
      <scheme val="minor"/>
    </font>
    <font>
      <b/>
      <sz val="8"/>
      <color theme="0"/>
      <name val="Calibri"/>
      <family val="2"/>
      <scheme val="minor"/>
    </font>
    <font>
      <sz val="11"/>
      <color rgb="FFFFC000"/>
      <name val="Calibri"/>
      <family val="2"/>
      <scheme val="minor"/>
    </font>
    <font>
      <sz val="9"/>
      <color indexed="81"/>
      <name val="Segoe UI"/>
      <family val="2"/>
    </font>
    <font>
      <b/>
      <sz val="9"/>
      <color indexed="81"/>
      <name val="Segoe UI"/>
      <family val="2"/>
    </font>
  </fonts>
  <fills count="36">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rgb="FFDFF1CB"/>
        <bgColor indexed="64"/>
      </patternFill>
    </fill>
    <fill>
      <patternFill patternType="solid">
        <fgColor theme="0"/>
        <bgColor indexed="64"/>
      </patternFill>
    </fill>
    <fill>
      <patternFill patternType="solid">
        <fgColor rgb="FFFFE6E6"/>
        <bgColor indexed="64"/>
      </patternFill>
    </fill>
    <fill>
      <patternFill patternType="solid">
        <fgColor rgb="FFE6E6E6"/>
        <bgColor indexed="64"/>
      </patternFill>
    </fill>
    <fill>
      <patternFill patternType="solid">
        <fgColor rgb="FFE6FCFF"/>
        <bgColor indexed="64"/>
      </patternFill>
    </fill>
    <fill>
      <patternFill patternType="solid">
        <fgColor rgb="FFF3FFE1"/>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1"/>
        <bgColor indexed="64"/>
      </patternFill>
    </fill>
    <fill>
      <patternFill patternType="solid">
        <fgColor rgb="FF5DC4E1"/>
        <bgColor indexed="64"/>
      </patternFill>
    </fill>
    <fill>
      <patternFill patternType="solid">
        <fgColor rgb="FF76B729"/>
        <bgColor indexed="64"/>
      </patternFill>
    </fill>
    <fill>
      <patternFill patternType="solid">
        <fgColor rgb="FFC00000"/>
        <bgColor indexed="64"/>
      </patternFill>
    </fill>
    <fill>
      <patternFill patternType="solid">
        <fgColor rgb="FFFFFF00"/>
        <bgColor indexed="64"/>
      </patternFill>
    </fill>
    <fill>
      <patternFill patternType="solid">
        <fgColor rgb="FFDDDDDD"/>
        <bgColor indexed="64"/>
      </patternFill>
    </fill>
    <fill>
      <patternFill patternType="solid">
        <fgColor rgb="FFF7CED3"/>
        <bgColor indexed="64"/>
      </patternFill>
    </fill>
    <fill>
      <patternFill patternType="solid">
        <fgColor rgb="FFFFF2CC"/>
        <bgColor indexed="64"/>
      </patternFill>
    </fill>
    <fill>
      <patternFill patternType="solid">
        <fgColor theme="9" tint="0.39997558519241921"/>
        <bgColor indexed="64"/>
      </patternFill>
    </fill>
    <fill>
      <patternFill patternType="solid">
        <fgColor rgb="FFF0F0F0"/>
        <bgColor indexed="64"/>
      </patternFill>
    </fill>
    <fill>
      <patternFill patternType="solid">
        <fgColor rgb="FFE30613"/>
        <bgColor indexed="64"/>
      </patternFill>
    </fill>
    <fill>
      <patternFill patternType="solid">
        <fgColor rgb="FFF29CA4"/>
        <bgColor indexed="64"/>
      </patternFill>
    </fill>
    <fill>
      <patternFill patternType="solid">
        <fgColor rgb="FFCCE9F4"/>
        <bgColor indexed="64"/>
      </patternFill>
    </fill>
    <fill>
      <patternFill patternType="solid">
        <fgColor rgb="FFE6F4FA"/>
        <bgColor indexed="64"/>
      </patternFill>
    </fill>
    <fill>
      <patternFill patternType="solid">
        <fgColor rgb="FFD1E3B0"/>
        <bgColor indexed="64"/>
      </patternFill>
    </fill>
    <fill>
      <patternFill patternType="solid">
        <fgColor rgb="FFE8F1D9"/>
        <bgColor indexed="64"/>
      </patternFill>
    </fill>
    <fill>
      <patternFill patternType="solid">
        <fgColor rgb="FFD5EFF5"/>
        <bgColor indexed="64"/>
      </patternFill>
    </fill>
    <fill>
      <patternFill patternType="solid">
        <fgColor rgb="FFFBC6C5"/>
        <bgColor indexed="64"/>
      </patternFill>
    </fill>
    <fill>
      <patternFill patternType="solid">
        <fgColor rgb="FFDCEDD1"/>
        <bgColor indexed="64"/>
      </patternFill>
    </fill>
    <fill>
      <patternFill patternType="solid">
        <fgColor theme="7" tint="-0.249977111117893"/>
        <bgColor indexed="64"/>
      </patternFill>
    </fill>
    <fill>
      <patternFill patternType="solid">
        <fgColor rgb="FFF5F5F5"/>
        <bgColor indexed="64"/>
      </patternFill>
    </fill>
    <fill>
      <patternFill patternType="solid">
        <fgColor rgb="FFF6F6F6"/>
        <bgColor indexed="64"/>
      </patternFill>
    </fill>
  </fills>
  <borders count="186">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C0000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rgb="FFFF0000"/>
      </left>
      <right style="thin">
        <color rgb="FFFF0000"/>
      </right>
      <top style="thin">
        <color rgb="FFFF0000"/>
      </top>
      <bottom style="thin">
        <color rgb="FFFF0000"/>
      </bottom>
      <diagonal/>
    </border>
    <border>
      <left style="thick">
        <color theme="1"/>
      </left>
      <right/>
      <top/>
      <bottom/>
      <diagonal/>
    </border>
    <border>
      <left/>
      <right/>
      <top style="thick">
        <color theme="1"/>
      </top>
      <bottom/>
      <diagonal/>
    </border>
    <border>
      <left style="thin">
        <color theme="0" tint="-0.499984740745262"/>
      </left>
      <right style="thick">
        <color indexed="64"/>
      </right>
      <top style="thin">
        <color theme="0" tint="-0.499984740745262"/>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style="thick">
        <color indexed="64"/>
      </bottom>
      <diagonal/>
    </border>
    <border>
      <left/>
      <right style="thick">
        <color indexed="64"/>
      </right>
      <top style="thin">
        <color indexed="64"/>
      </top>
      <bottom/>
      <diagonal/>
    </border>
    <border>
      <left style="thin">
        <color indexed="64"/>
      </left>
      <right style="thin">
        <color indexed="64"/>
      </right>
      <top style="thin">
        <color theme="0"/>
      </top>
      <bottom style="thin">
        <color theme="0"/>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top/>
      <bottom style="hair">
        <color indexed="64"/>
      </bottom>
      <diagonal/>
    </border>
    <border>
      <left style="thin">
        <color indexed="64"/>
      </left>
      <right style="thick">
        <color indexed="64"/>
      </right>
      <top style="thin">
        <color indexed="64"/>
      </top>
      <bottom style="thick">
        <color indexed="64"/>
      </bottom>
      <diagonal/>
    </border>
    <border>
      <left/>
      <right/>
      <top/>
      <bottom style="thin">
        <color theme="0" tint="-0.249977111117893"/>
      </bottom>
      <diagonal/>
    </border>
    <border>
      <left/>
      <right/>
      <top style="hair">
        <color indexed="64"/>
      </top>
      <bottom style="hair">
        <color indexed="64"/>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theme="0"/>
      </left>
      <right style="thin">
        <color indexed="64"/>
      </right>
      <top/>
      <bottom style="thin">
        <color theme="0"/>
      </bottom>
      <diagonal/>
    </border>
    <border>
      <left/>
      <right style="thin">
        <color indexed="64"/>
      </right>
      <top style="thin">
        <color theme="0"/>
      </top>
      <bottom style="thin">
        <color theme="0"/>
      </bottom>
      <diagonal/>
    </border>
    <border>
      <left style="thin">
        <color theme="0"/>
      </left>
      <right style="thin">
        <color theme="0"/>
      </right>
      <top/>
      <bottom/>
      <diagonal/>
    </border>
    <border>
      <left/>
      <right style="thin">
        <color indexed="64"/>
      </right>
      <top style="thin">
        <color indexed="64"/>
      </top>
      <bottom style="thin">
        <color theme="0"/>
      </bottom>
      <diagonal/>
    </border>
    <border>
      <left/>
      <right style="thin">
        <color indexed="64"/>
      </right>
      <top style="thin">
        <color theme="0"/>
      </top>
      <bottom/>
      <diagonal/>
    </border>
    <border>
      <left/>
      <right style="thin">
        <color indexed="64"/>
      </right>
      <top/>
      <bottom style="thin">
        <color theme="0"/>
      </bottom>
      <diagonal/>
    </border>
    <border>
      <left/>
      <right style="thin">
        <color theme="0"/>
      </right>
      <top/>
      <bottom style="thin">
        <color theme="0"/>
      </bottom>
      <diagonal/>
    </border>
    <border>
      <left/>
      <right style="thin">
        <color theme="0"/>
      </right>
      <top style="thin">
        <color theme="0"/>
      </top>
      <bottom/>
      <diagonal/>
    </border>
    <border>
      <left/>
      <right style="thin">
        <color theme="0"/>
      </right>
      <top style="thin">
        <color indexed="64"/>
      </top>
      <bottom style="thin">
        <color theme="0"/>
      </bottom>
      <diagonal/>
    </border>
    <border>
      <left style="thin">
        <color theme="1"/>
      </left>
      <right/>
      <top style="thin">
        <color theme="1"/>
      </top>
      <bottom style="thick">
        <color theme="1"/>
      </bottom>
      <diagonal/>
    </border>
    <border>
      <left/>
      <right/>
      <top style="thin">
        <color theme="1"/>
      </top>
      <bottom style="thick">
        <color theme="1"/>
      </bottom>
      <diagonal/>
    </border>
    <border>
      <left/>
      <right style="thick">
        <color theme="1"/>
      </right>
      <top style="thin">
        <color theme="1"/>
      </top>
      <bottom style="thick">
        <color theme="1"/>
      </bottom>
      <diagonal/>
    </border>
    <border>
      <left/>
      <right style="thin">
        <color theme="0"/>
      </right>
      <top/>
      <bottom/>
      <diagonal/>
    </border>
    <border>
      <left/>
      <right style="thin">
        <color theme="0"/>
      </right>
      <top style="thin">
        <color theme="0"/>
      </top>
      <bottom style="thin">
        <color auto="1"/>
      </bottom>
      <diagonal/>
    </border>
    <border>
      <left/>
      <right style="thin">
        <color indexed="64"/>
      </right>
      <top style="thin">
        <color theme="0"/>
      </top>
      <bottom style="thin">
        <color auto="1"/>
      </bottom>
      <diagonal/>
    </border>
    <border>
      <left style="thin">
        <color indexed="64"/>
      </left>
      <right style="thin">
        <color theme="0"/>
      </right>
      <top style="thin">
        <color theme="0"/>
      </top>
      <bottom style="thin">
        <color auto="1"/>
      </bottom>
      <diagonal/>
    </border>
    <border>
      <left style="thin">
        <color indexed="64"/>
      </left>
      <right style="thin">
        <color theme="0"/>
      </right>
      <top style="thin">
        <color theme="1"/>
      </top>
      <bottom style="thin">
        <color theme="1"/>
      </bottom>
      <diagonal/>
    </border>
    <border>
      <left style="thin">
        <color theme="0"/>
      </left>
      <right style="thin">
        <color theme="0"/>
      </right>
      <top style="thin">
        <color theme="1"/>
      </top>
      <bottom style="thin">
        <color theme="1"/>
      </bottom>
      <diagonal/>
    </border>
    <border>
      <left style="thin">
        <color theme="0"/>
      </left>
      <right style="thin">
        <color indexed="64"/>
      </right>
      <top style="thin">
        <color theme="1"/>
      </top>
      <bottom style="thin">
        <color theme="1"/>
      </bottom>
      <diagonal/>
    </border>
    <border>
      <left style="thin">
        <color theme="0"/>
      </left>
      <right style="thin">
        <color theme="0"/>
      </right>
      <top style="thin">
        <color theme="0"/>
      </top>
      <bottom style="thin">
        <color auto="1"/>
      </bottom>
      <diagonal/>
    </border>
    <border>
      <left/>
      <right/>
      <top/>
      <bottom style="thin">
        <color theme="1"/>
      </bottom>
      <diagonal/>
    </border>
    <border>
      <left style="thin">
        <color theme="0"/>
      </left>
      <right style="thin">
        <color theme="0"/>
      </right>
      <top/>
      <bottom style="thin">
        <color theme="1"/>
      </bottom>
      <diagonal/>
    </border>
    <border>
      <left style="thin">
        <color theme="0"/>
      </left>
      <right style="thin">
        <color indexed="64"/>
      </right>
      <top/>
      <bottom style="thin">
        <color theme="1"/>
      </bottom>
      <diagonal/>
    </border>
    <border>
      <left style="thin">
        <color theme="0"/>
      </left>
      <right style="thin">
        <color indexed="64"/>
      </right>
      <top style="thin">
        <color theme="0"/>
      </top>
      <bottom style="thin">
        <color theme="1"/>
      </bottom>
      <diagonal/>
    </border>
    <border>
      <left style="thin">
        <color theme="0"/>
      </left>
      <right style="thin">
        <color theme="0"/>
      </right>
      <top style="thin">
        <color theme="1"/>
      </top>
      <bottom/>
      <diagonal/>
    </border>
    <border>
      <left style="thick">
        <color theme="0"/>
      </left>
      <right style="thick">
        <color theme="0"/>
      </right>
      <top style="thick">
        <color theme="0"/>
      </top>
      <bottom style="thick">
        <color theme="0"/>
      </bottom>
      <diagonal/>
    </border>
    <border>
      <left style="thin">
        <color theme="0"/>
      </left>
      <right/>
      <top/>
      <bottom/>
      <diagonal/>
    </border>
    <border>
      <left style="thick">
        <color theme="0"/>
      </left>
      <right style="thick">
        <color theme="0"/>
      </right>
      <top style="thick">
        <color theme="0"/>
      </top>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bottom/>
      <diagonal/>
    </border>
    <border>
      <left style="thin">
        <color theme="0" tint="-0.499984740745262"/>
      </left>
      <right/>
      <top style="thin">
        <color theme="0" tint="-0.499984740745262"/>
      </top>
      <bottom style="thick">
        <color indexed="64"/>
      </bottom>
      <diagonal/>
    </border>
    <border>
      <left/>
      <right style="thick">
        <color indexed="64"/>
      </right>
      <top style="thin">
        <color theme="0" tint="-0.499984740745262"/>
      </top>
      <bottom style="thick">
        <color indexed="64"/>
      </bottom>
      <diagonal/>
    </border>
    <border>
      <left/>
      <right/>
      <top style="thick">
        <color theme="0"/>
      </top>
      <bottom style="thick">
        <color theme="0"/>
      </bottom>
      <diagonal/>
    </border>
    <border>
      <left style="medium">
        <color rgb="FFE30613"/>
      </left>
      <right style="medium">
        <color rgb="FFE30613"/>
      </right>
      <top style="medium">
        <color rgb="FFE30613"/>
      </top>
      <bottom style="medium">
        <color rgb="FFE30613"/>
      </bottom>
      <diagonal/>
    </border>
    <border>
      <left/>
      <right/>
      <top style="medium">
        <color rgb="FFE30613"/>
      </top>
      <bottom/>
      <diagonal/>
    </border>
    <border>
      <left style="medium">
        <color rgb="FFE30613"/>
      </left>
      <right/>
      <top style="medium">
        <color rgb="FFE30613"/>
      </top>
      <bottom/>
      <diagonal/>
    </border>
    <border>
      <left/>
      <right style="medium">
        <color rgb="FFE30613"/>
      </right>
      <top style="medium">
        <color rgb="FFE30613"/>
      </top>
      <bottom/>
      <diagonal/>
    </border>
    <border>
      <left style="medium">
        <color rgb="FFE30613"/>
      </left>
      <right/>
      <top/>
      <bottom/>
      <diagonal/>
    </border>
    <border>
      <left/>
      <right style="medium">
        <color rgb="FFE30613"/>
      </right>
      <top/>
      <bottom/>
      <diagonal/>
    </border>
    <border>
      <left style="medium">
        <color rgb="FFE30613"/>
      </left>
      <right/>
      <top/>
      <bottom style="medium">
        <color rgb="FFE30613"/>
      </bottom>
      <diagonal/>
    </border>
    <border>
      <left/>
      <right/>
      <top/>
      <bottom style="medium">
        <color rgb="FFE30613"/>
      </bottom>
      <diagonal/>
    </border>
    <border>
      <left/>
      <right style="medium">
        <color rgb="FFE30613"/>
      </right>
      <top/>
      <bottom style="medium">
        <color rgb="FFE30613"/>
      </bottom>
      <diagonal/>
    </border>
    <border>
      <left style="medium">
        <color rgb="FFE30613"/>
      </left>
      <right style="thick">
        <color rgb="FFDDDDDD"/>
      </right>
      <top style="thick">
        <color rgb="FFDDDDDD"/>
      </top>
      <bottom style="medium">
        <color theme="0"/>
      </bottom>
      <diagonal/>
    </border>
    <border>
      <left style="medium">
        <color rgb="FFE30613"/>
      </left>
      <right style="thick">
        <color rgb="FFDDDDDD"/>
      </right>
      <top style="medium">
        <color theme="0"/>
      </top>
      <bottom style="medium">
        <color theme="0"/>
      </bottom>
      <diagonal/>
    </border>
    <border>
      <left style="medium">
        <color rgb="FFE30613"/>
      </left>
      <right style="thick">
        <color rgb="FFDDDDDD"/>
      </right>
      <top style="medium">
        <color theme="0"/>
      </top>
      <bottom style="thick">
        <color rgb="FFDDDDDD"/>
      </bottom>
      <diagonal/>
    </border>
    <border>
      <left style="medium">
        <color rgb="FFDDDDDD"/>
      </left>
      <right style="medium">
        <color rgb="FFE30613"/>
      </right>
      <top style="thick">
        <color rgb="FFDDDDDD"/>
      </top>
      <bottom style="medium">
        <color theme="0"/>
      </bottom>
      <diagonal/>
    </border>
    <border>
      <left style="medium">
        <color rgb="FFDDDDDD"/>
      </left>
      <right style="medium">
        <color rgb="FFE30613"/>
      </right>
      <top style="medium">
        <color theme="0"/>
      </top>
      <bottom style="medium">
        <color theme="0"/>
      </bottom>
      <diagonal/>
    </border>
    <border>
      <left style="medium">
        <color rgb="FFDDDDDD"/>
      </left>
      <right style="medium">
        <color rgb="FFE30613"/>
      </right>
      <top style="medium">
        <color theme="0"/>
      </top>
      <bottom style="thick">
        <color rgb="FFDDDDDD"/>
      </bottom>
      <diagonal/>
    </border>
    <border>
      <left style="medium">
        <color rgb="FF5DC4E1"/>
      </left>
      <right style="medium">
        <color rgb="FFE30613"/>
      </right>
      <top style="medium">
        <color rgb="FF5DC4E1"/>
      </top>
      <bottom style="medium">
        <color rgb="FF5DC4E1"/>
      </bottom>
      <diagonal/>
    </border>
    <border>
      <left style="medium">
        <color rgb="FFE30613"/>
      </left>
      <right style="medium">
        <color rgb="FFE30613"/>
      </right>
      <top style="medium">
        <color rgb="FF5DC4E1"/>
      </top>
      <bottom style="medium">
        <color rgb="FF5DC4E1"/>
      </bottom>
      <diagonal/>
    </border>
    <border>
      <left style="medium">
        <color rgb="FFE30613"/>
      </left>
      <right style="medium">
        <color rgb="FF5DC4E1"/>
      </right>
      <top style="medium">
        <color rgb="FF5DC4E1"/>
      </top>
      <bottom style="medium">
        <color rgb="FF5DC4E1"/>
      </bottom>
      <diagonal/>
    </border>
    <border>
      <left/>
      <right/>
      <top style="medium">
        <color rgb="FF5DC4E1"/>
      </top>
      <bottom style="medium">
        <color rgb="FF5DC4E1"/>
      </bottom>
      <diagonal/>
    </border>
    <border>
      <left style="medium">
        <color rgb="FF5DC4E1"/>
      </left>
      <right/>
      <top style="medium">
        <color rgb="FF5DC4E1"/>
      </top>
      <bottom style="medium">
        <color rgb="FF5DC4E1"/>
      </bottom>
      <diagonal/>
    </border>
    <border>
      <left/>
      <right style="medium">
        <color rgb="FF5DC4E1"/>
      </right>
      <top style="medium">
        <color rgb="FF5DC4E1"/>
      </top>
      <bottom style="medium">
        <color rgb="FF5DC4E1"/>
      </bottom>
      <diagonal/>
    </border>
    <border>
      <left style="thick">
        <color rgb="FFDDDDDD"/>
      </left>
      <right style="medium">
        <color rgb="FF5DC4E1"/>
      </right>
      <top style="thick">
        <color rgb="FFDDDDDD"/>
      </top>
      <bottom style="thin">
        <color theme="0"/>
      </bottom>
      <diagonal/>
    </border>
    <border>
      <left style="thick">
        <color rgb="FFDDDDDD"/>
      </left>
      <right style="medium">
        <color rgb="FF5DC4E1"/>
      </right>
      <top style="thin">
        <color theme="0"/>
      </top>
      <bottom style="thin">
        <color theme="0"/>
      </bottom>
      <diagonal/>
    </border>
    <border>
      <left style="thick">
        <color rgb="FFDDDDDD"/>
      </left>
      <right style="medium">
        <color rgb="FF5DC4E1"/>
      </right>
      <top style="thin">
        <color theme="0"/>
      </top>
      <bottom style="thick">
        <color rgb="FFDDDDDD"/>
      </bottom>
      <diagonal/>
    </border>
    <border>
      <left style="thick">
        <color rgb="FFDDDDDD"/>
      </left>
      <right/>
      <top style="thick">
        <color rgb="FFDDDDDD"/>
      </top>
      <bottom style="thin">
        <color theme="0"/>
      </bottom>
      <diagonal/>
    </border>
    <border>
      <left style="thick">
        <color rgb="FFDDDDDD"/>
      </left>
      <right/>
      <top style="thin">
        <color theme="0"/>
      </top>
      <bottom style="thin">
        <color theme="0"/>
      </bottom>
      <diagonal/>
    </border>
    <border>
      <left style="thick">
        <color rgb="FFDDDDDD"/>
      </left>
      <right/>
      <top style="thin">
        <color theme="0"/>
      </top>
      <bottom style="thick">
        <color rgb="FFDDDDDD"/>
      </bottom>
      <diagonal/>
    </border>
    <border>
      <left/>
      <right style="medium">
        <color rgb="FF76B729"/>
      </right>
      <top style="medium">
        <color rgb="FF76B729"/>
      </top>
      <bottom style="medium">
        <color rgb="FF76B729"/>
      </bottom>
      <diagonal/>
    </border>
    <border>
      <left/>
      <right/>
      <top style="medium">
        <color rgb="FF76B729"/>
      </top>
      <bottom style="medium">
        <color rgb="FF76B729"/>
      </bottom>
      <diagonal/>
    </border>
    <border>
      <left style="medium">
        <color rgb="FF76B729"/>
      </left>
      <right/>
      <top style="medium">
        <color rgb="FF76B729"/>
      </top>
      <bottom style="medium">
        <color rgb="FF76B729"/>
      </bottom>
      <diagonal/>
    </border>
    <border>
      <left/>
      <right style="thick">
        <color rgb="FFDDDDDD"/>
      </right>
      <top style="thick">
        <color rgb="FFDDDDDD"/>
      </top>
      <bottom style="thin">
        <color theme="0"/>
      </bottom>
      <diagonal/>
    </border>
    <border>
      <left/>
      <right style="thick">
        <color rgb="FFDDDDDD"/>
      </right>
      <top style="thin">
        <color theme="0"/>
      </top>
      <bottom style="thin">
        <color theme="0"/>
      </bottom>
      <diagonal/>
    </border>
    <border>
      <left/>
      <right style="thick">
        <color rgb="FFDDDDDD"/>
      </right>
      <top style="thin">
        <color theme="0"/>
      </top>
      <bottom style="thick">
        <color rgb="FFDDDDDD"/>
      </bottom>
      <diagonal/>
    </border>
    <border>
      <left style="thin">
        <color indexed="64"/>
      </left>
      <right/>
      <top/>
      <bottom style="thin">
        <color rgb="FFE30613"/>
      </bottom>
      <diagonal/>
    </border>
    <border>
      <left/>
      <right/>
      <top/>
      <bottom style="thin">
        <color rgb="FFE30613"/>
      </bottom>
      <diagonal/>
    </border>
    <border>
      <left style="medium">
        <color rgb="FF76B729"/>
      </left>
      <right/>
      <top style="medium">
        <color rgb="FF76B729"/>
      </top>
      <bottom/>
      <diagonal/>
    </border>
    <border>
      <left/>
      <right/>
      <top style="medium">
        <color rgb="FF76B729"/>
      </top>
      <bottom/>
      <diagonal/>
    </border>
    <border>
      <left/>
      <right style="medium">
        <color rgb="FF76B729"/>
      </right>
      <top style="medium">
        <color rgb="FF76B729"/>
      </top>
      <bottom/>
      <diagonal/>
    </border>
    <border>
      <left style="medium">
        <color rgb="FF76B729"/>
      </left>
      <right/>
      <top/>
      <bottom/>
      <diagonal/>
    </border>
    <border>
      <left/>
      <right style="medium">
        <color rgb="FF76B729"/>
      </right>
      <top/>
      <bottom/>
      <diagonal/>
    </border>
    <border>
      <left style="medium">
        <color rgb="FF76B729"/>
      </left>
      <right/>
      <top/>
      <bottom style="medium">
        <color rgb="FF76B729"/>
      </bottom>
      <diagonal/>
    </border>
    <border>
      <left/>
      <right/>
      <top/>
      <bottom style="medium">
        <color rgb="FF76B729"/>
      </bottom>
      <diagonal/>
    </border>
    <border>
      <left/>
      <right style="medium">
        <color rgb="FF76B729"/>
      </right>
      <top/>
      <bottom style="medium">
        <color rgb="FF76B729"/>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theme="0"/>
      </bottom>
      <diagonal/>
    </border>
    <border>
      <left/>
      <right/>
      <top/>
      <bottom style="thin">
        <color theme="0" tint="-0.24994659260841701"/>
      </bottom>
      <diagonal/>
    </border>
    <border>
      <left/>
      <right/>
      <top style="thin">
        <color rgb="FFFF0000"/>
      </top>
      <bottom style="thin">
        <color rgb="FFFF0000"/>
      </bottom>
      <diagonal/>
    </border>
    <border>
      <left style="thin">
        <color theme="2"/>
      </left>
      <right style="thin">
        <color indexed="64"/>
      </right>
      <top style="thin">
        <color indexed="64"/>
      </top>
      <bottom style="thin">
        <color theme="2"/>
      </bottom>
      <diagonal/>
    </border>
    <border>
      <left style="thin">
        <color theme="0"/>
      </left>
      <right style="thin">
        <color theme="2"/>
      </right>
      <top style="thin">
        <color theme="2"/>
      </top>
      <bottom style="thin">
        <color theme="2"/>
      </bottom>
      <diagonal/>
    </border>
    <border>
      <left style="thin">
        <color theme="2"/>
      </left>
      <right style="thin">
        <color indexed="64"/>
      </right>
      <top style="thin">
        <color theme="2"/>
      </top>
      <bottom style="thin">
        <color theme="2"/>
      </bottom>
      <diagonal/>
    </border>
    <border>
      <left style="thin">
        <color theme="0"/>
      </left>
      <right style="thin">
        <color theme="2"/>
      </right>
      <top style="thin">
        <color theme="2"/>
      </top>
      <bottom style="thin">
        <color auto="1"/>
      </bottom>
      <diagonal/>
    </border>
    <border>
      <left style="thin">
        <color theme="2"/>
      </left>
      <right style="thin">
        <color indexed="64"/>
      </right>
      <top style="thin">
        <color theme="2"/>
      </top>
      <bottom style="thin">
        <color theme="1"/>
      </bottom>
      <diagonal/>
    </border>
    <border>
      <left style="thick">
        <color theme="0"/>
      </left>
      <right/>
      <top style="thin">
        <color theme="0"/>
      </top>
      <bottom style="thick">
        <color theme="0"/>
      </bottom>
      <diagonal/>
    </border>
    <border>
      <left/>
      <right/>
      <top style="thin">
        <color theme="0"/>
      </top>
      <bottom style="thick">
        <color theme="0"/>
      </bottom>
      <diagonal/>
    </border>
    <border>
      <left/>
      <right style="thin">
        <color theme="0"/>
      </right>
      <top style="thin">
        <color theme="0"/>
      </top>
      <bottom style="thick">
        <color theme="0"/>
      </bottom>
      <diagonal/>
    </border>
    <border>
      <left/>
      <right style="thin">
        <color theme="0"/>
      </right>
      <top style="thick">
        <color theme="0"/>
      </top>
      <bottom style="thick">
        <color theme="0"/>
      </bottom>
      <diagonal/>
    </border>
    <border>
      <left style="thick">
        <color theme="0"/>
      </left>
      <right/>
      <top style="thick">
        <color theme="0"/>
      </top>
      <bottom style="thin">
        <color theme="0"/>
      </bottom>
      <diagonal/>
    </border>
    <border>
      <left/>
      <right/>
      <top style="thick">
        <color theme="0"/>
      </top>
      <bottom style="thin">
        <color theme="0"/>
      </bottom>
      <diagonal/>
    </border>
    <border>
      <left/>
      <right style="thin">
        <color theme="0"/>
      </right>
      <top style="thick">
        <color theme="0"/>
      </top>
      <bottom style="thin">
        <color theme="0"/>
      </bottom>
      <diagonal/>
    </border>
    <border>
      <left style="thick">
        <color theme="0"/>
      </left>
      <right/>
      <top style="thin">
        <color theme="0"/>
      </top>
      <bottom style="thin">
        <color theme="0"/>
      </bottom>
      <diagonal/>
    </border>
    <border>
      <left style="medium">
        <color rgb="FFE30613"/>
      </left>
      <right style="medium">
        <color rgb="FFE30613"/>
      </right>
      <top style="medium">
        <color rgb="FFE30613"/>
      </top>
      <bottom/>
      <diagonal/>
    </border>
    <border>
      <left style="medium">
        <color rgb="FFE30613"/>
      </left>
      <right style="medium">
        <color rgb="FFE30613"/>
      </right>
      <top/>
      <bottom/>
      <diagonal/>
    </border>
    <border>
      <left style="medium">
        <color rgb="FFE30613"/>
      </left>
      <right style="medium">
        <color rgb="FFE30613"/>
      </right>
      <top/>
      <bottom style="medium">
        <color rgb="FFE30613"/>
      </bottom>
      <diagonal/>
    </border>
    <border>
      <left style="thick">
        <color rgb="FFDDDDDD"/>
      </left>
      <right style="thick">
        <color rgb="FFDDDDDD"/>
      </right>
      <top style="thick">
        <color rgb="FFDDDDDD"/>
      </top>
      <bottom style="medium">
        <color theme="0"/>
      </bottom>
      <diagonal/>
    </border>
    <border>
      <left style="thick">
        <color rgb="FFDDDDDD"/>
      </left>
      <right style="thick">
        <color rgb="FFDDDDDD"/>
      </right>
      <top style="medium">
        <color theme="0"/>
      </top>
      <bottom style="medium">
        <color theme="0"/>
      </bottom>
      <diagonal/>
    </border>
    <border>
      <left style="thick">
        <color rgb="FFDDDDDD"/>
      </left>
      <right style="thick">
        <color rgb="FFDDDDDD"/>
      </right>
      <top style="medium">
        <color theme="0"/>
      </top>
      <bottom style="thick">
        <color rgb="FFDDDDDD"/>
      </bottom>
      <diagonal/>
    </border>
    <border>
      <left style="thick">
        <color rgb="FFDDDDDD"/>
      </left>
      <right style="thick">
        <color rgb="FFDDDDDD"/>
      </right>
      <top style="thick">
        <color rgb="FFDDDDDD"/>
      </top>
      <bottom/>
      <diagonal/>
    </border>
    <border>
      <left style="thick">
        <color rgb="FFDDDDDD"/>
      </left>
      <right style="thick">
        <color rgb="FFDDDDDD"/>
      </right>
      <top/>
      <bottom/>
      <diagonal/>
    </border>
    <border>
      <left style="thick">
        <color rgb="FFDDDDDD"/>
      </left>
      <right style="thick">
        <color rgb="FFDDDDDD"/>
      </right>
      <top/>
      <bottom style="thick">
        <color rgb="FFDDDDDD"/>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theme="0"/>
      </right>
      <top style="thin">
        <color theme="0"/>
      </top>
      <bottom style="thin">
        <color theme="0"/>
      </bottom>
      <diagonal/>
    </border>
    <border>
      <left/>
      <right style="thick">
        <color theme="0"/>
      </right>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medium">
        <color rgb="FF5DC4E1"/>
      </left>
      <right/>
      <top style="medium">
        <color rgb="FF5DC4E1"/>
      </top>
      <bottom/>
      <diagonal/>
    </border>
    <border>
      <left/>
      <right/>
      <top style="medium">
        <color rgb="FF5DC4E1"/>
      </top>
      <bottom/>
      <diagonal/>
    </border>
    <border>
      <left/>
      <right style="medium">
        <color rgb="FF5DC4E1"/>
      </right>
      <top style="medium">
        <color rgb="FF5DC4E1"/>
      </top>
      <bottom/>
      <diagonal/>
    </border>
    <border>
      <left style="medium">
        <color rgb="FF5DC4E1"/>
      </left>
      <right/>
      <top/>
      <bottom/>
      <diagonal/>
    </border>
    <border>
      <left/>
      <right style="medium">
        <color rgb="FF5DC4E1"/>
      </right>
      <top/>
      <bottom/>
      <diagonal/>
    </border>
    <border>
      <left style="medium">
        <color rgb="FF5DC4E1"/>
      </left>
      <right/>
      <top/>
      <bottom style="medium">
        <color rgb="FF5DC4E1"/>
      </bottom>
      <diagonal/>
    </border>
    <border>
      <left/>
      <right/>
      <top/>
      <bottom style="medium">
        <color rgb="FF5DC4E1"/>
      </bottom>
      <diagonal/>
    </border>
    <border>
      <left/>
      <right style="medium">
        <color rgb="FF5DC4E1"/>
      </right>
      <top/>
      <bottom style="medium">
        <color rgb="FF5DC4E1"/>
      </bottom>
      <diagonal/>
    </border>
    <border>
      <left/>
      <right style="thick">
        <color rgb="FFDDDDDD"/>
      </right>
      <top style="thin">
        <color theme="0"/>
      </top>
      <bottom/>
      <diagonal/>
    </border>
    <border>
      <left/>
      <right/>
      <top/>
      <bottom style="thin">
        <color theme="0"/>
      </bottom>
      <diagonal/>
    </border>
    <border>
      <left/>
      <right/>
      <top style="thin">
        <color theme="0"/>
      </top>
      <bottom/>
      <diagonal/>
    </border>
  </borders>
  <cellStyleXfs count="5">
    <xf numFmtId="0" fontId="0" fillId="0" borderId="0"/>
    <xf numFmtId="0" fontId="9" fillId="0" borderId="0" applyNumberFormat="0" applyFill="0" applyBorder="0" applyAlignment="0" applyProtection="0"/>
    <xf numFmtId="9"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cellStyleXfs>
  <cellXfs count="2106">
    <xf numFmtId="0" fontId="0" fillId="0" borderId="0" xfId="0"/>
    <xf numFmtId="0" fontId="0" fillId="5" borderId="0" xfId="0" applyFill="1"/>
    <xf numFmtId="0" fontId="3" fillId="5" borderId="2" xfId="0" applyFont="1" applyFill="1" applyBorder="1" applyAlignment="1">
      <alignment vertical="center"/>
    </xf>
    <xf numFmtId="49" fontId="0" fillId="5" borderId="0" xfId="0" applyNumberFormat="1" applyFill="1" applyAlignment="1">
      <alignment horizontal="left" vertical="top"/>
    </xf>
    <xf numFmtId="0" fontId="0" fillId="5" borderId="0" xfId="0" applyFill="1" applyAlignment="1">
      <alignment horizontal="left" vertical="top"/>
    </xf>
    <xf numFmtId="0" fontId="5" fillId="5" borderId="2" xfId="0" applyFont="1" applyFill="1" applyBorder="1" applyAlignment="1">
      <alignment vertical="center"/>
    </xf>
    <xf numFmtId="0" fontId="8" fillId="5" borderId="0" xfId="0" applyFont="1" applyFill="1" applyAlignment="1">
      <alignment horizontal="left"/>
    </xf>
    <xf numFmtId="0" fontId="0" fillId="5" borderId="1" xfId="0" applyFill="1" applyBorder="1" applyAlignment="1" applyProtection="1">
      <alignment horizontal="left"/>
      <protection locked="0"/>
    </xf>
    <xf numFmtId="0" fontId="0" fillId="5" borderId="0" xfId="0" applyFill="1" applyAlignment="1" applyProtection="1">
      <alignment horizontal="left"/>
      <protection locked="0"/>
    </xf>
    <xf numFmtId="0" fontId="0" fillId="0" borderId="1" xfId="0" applyBorder="1" applyAlignment="1" applyProtection="1">
      <alignment horizontal="left"/>
      <protection locked="0"/>
    </xf>
    <xf numFmtId="0" fontId="15" fillId="5" borderId="0" xfId="0" applyFont="1" applyFill="1" applyAlignment="1">
      <alignment horizontal="right"/>
    </xf>
    <xf numFmtId="0" fontId="0" fillId="5" borderId="0" xfId="0" applyFill="1" applyAlignment="1">
      <alignment horizontal="left"/>
    </xf>
    <xf numFmtId="49" fontId="0" fillId="5" borderId="0" xfId="0" applyNumberFormat="1" applyFill="1" applyAlignment="1">
      <alignment horizontal="left" vertical="top" wrapText="1"/>
    </xf>
    <xf numFmtId="0" fontId="0" fillId="5" borderId="0" xfId="0" applyFill="1" applyAlignment="1">
      <alignment wrapText="1"/>
    </xf>
    <xf numFmtId="0" fontId="0" fillId="5" borderId="0" xfId="0" applyFill="1" applyAlignment="1">
      <alignment vertical="center"/>
    </xf>
    <xf numFmtId="49" fontId="4" fillId="5" borderId="0" xfId="0" applyNumberFormat="1" applyFont="1" applyFill="1" applyAlignment="1">
      <alignment vertical="center" textRotation="90"/>
    </xf>
    <xf numFmtId="0" fontId="4" fillId="5" borderId="0" xfId="0" applyFont="1" applyFill="1" applyAlignment="1">
      <alignment horizontal="center" vertical="center" textRotation="90"/>
    </xf>
    <xf numFmtId="0" fontId="4" fillId="5" borderId="0" xfId="0" applyFont="1" applyFill="1" applyAlignment="1">
      <alignment vertical="center"/>
    </xf>
    <xf numFmtId="0" fontId="3" fillId="5" borderId="0" xfId="0" applyFont="1" applyFill="1" applyAlignment="1">
      <alignment vertical="center"/>
    </xf>
    <xf numFmtId="0" fontId="8" fillId="5" borderId="0" xfId="0" applyFont="1" applyFill="1" applyAlignment="1">
      <alignment horizontal="left" vertical="center"/>
    </xf>
    <xf numFmtId="0" fontId="15" fillId="5" borderId="0" xfId="0" applyFont="1" applyFill="1" applyAlignment="1">
      <alignment horizontal="right" vertical="center"/>
    </xf>
    <xf numFmtId="0" fontId="8" fillId="5" borderId="0" xfId="0" applyFont="1" applyFill="1" applyAlignment="1">
      <alignment horizontal="left" vertical="top"/>
    </xf>
    <xf numFmtId="49" fontId="0" fillId="5" borderId="0" xfId="0" applyNumberFormat="1" applyFill="1" applyAlignment="1">
      <alignment horizontal="left"/>
    </xf>
    <xf numFmtId="0" fontId="8" fillId="5" borderId="0" xfId="0" applyFont="1" applyFill="1" applyAlignment="1">
      <alignment horizontal="left" vertical="top" wrapText="1"/>
    </xf>
    <xf numFmtId="0" fontId="8" fillId="5" borderId="0" xfId="1" applyFont="1" applyFill="1" applyBorder="1" applyAlignment="1" applyProtection="1">
      <alignment horizontal="center" vertical="center"/>
      <protection locked="0"/>
    </xf>
    <xf numFmtId="0" fontId="0" fillId="7" borderId="0" xfId="0" applyFill="1"/>
    <xf numFmtId="49" fontId="0" fillId="7" borderId="0" xfId="0" applyNumberFormat="1" applyFill="1" applyAlignment="1">
      <alignment horizontal="left" vertical="top"/>
    </xf>
    <xf numFmtId="0" fontId="8" fillId="7" borderId="0" xfId="0" applyFont="1" applyFill="1" applyAlignment="1">
      <alignment horizontal="left"/>
    </xf>
    <xf numFmtId="49" fontId="6" fillId="7" borderId="0" xfId="0" applyNumberFormat="1" applyFont="1" applyFill="1" applyAlignment="1">
      <alignment horizontal="left" vertical="top"/>
    </xf>
    <xf numFmtId="0" fontId="6" fillId="7" borderId="0" xfId="0" applyFont="1" applyFill="1" applyAlignment="1">
      <alignment horizontal="left" vertical="top"/>
    </xf>
    <xf numFmtId="0" fontId="0" fillId="7" borderId="0" xfId="0" applyFill="1" applyAlignment="1">
      <alignment wrapText="1"/>
    </xf>
    <xf numFmtId="0" fontId="0" fillId="7" borderId="0" xfId="0" applyFill="1" applyAlignment="1">
      <alignment horizontal="center" wrapText="1"/>
    </xf>
    <xf numFmtId="0" fontId="8" fillId="7" borderId="0" xfId="0" applyFont="1" applyFill="1" applyAlignment="1">
      <alignment horizontal="left" vertical="top"/>
    </xf>
    <xf numFmtId="0" fontId="0" fillId="7" borderId="0" xfId="0" applyFill="1" applyAlignment="1">
      <alignment horizontal="left" vertical="top"/>
    </xf>
    <xf numFmtId="49" fontId="0" fillId="7" borderId="0" xfId="0" applyNumberFormat="1" applyFill="1" applyAlignment="1">
      <alignment vertical="top"/>
    </xf>
    <xf numFmtId="0" fontId="8" fillId="7" borderId="0" xfId="1" applyFont="1" applyFill="1" applyBorder="1" applyAlignment="1" applyProtection="1"/>
    <xf numFmtId="0" fontId="0" fillId="8" borderId="0" xfId="0" applyFill="1"/>
    <xf numFmtId="0" fontId="0" fillId="9" borderId="0" xfId="0" applyFill="1"/>
    <xf numFmtId="0" fontId="0" fillId="5" borderId="12" xfId="0" applyFill="1" applyBorder="1"/>
    <xf numFmtId="0" fontId="0" fillId="5" borderId="1" xfId="0" applyFill="1" applyBorder="1" applyAlignment="1">
      <alignment horizontal="center"/>
    </xf>
    <xf numFmtId="10" fontId="0" fillId="5" borderId="1" xfId="0" applyNumberFormat="1" applyFill="1" applyBorder="1" applyAlignment="1">
      <alignment horizontal="center" wrapText="1"/>
    </xf>
    <xf numFmtId="10" fontId="0" fillId="5" borderId="0" xfId="0" applyNumberFormat="1" applyFill="1" applyAlignment="1">
      <alignment horizontal="center" wrapText="1"/>
    </xf>
    <xf numFmtId="10" fontId="0" fillId="5" borderId="12" xfId="0" applyNumberFormat="1" applyFill="1" applyBorder="1" applyAlignment="1">
      <alignment horizontal="center" wrapText="1"/>
    </xf>
    <xf numFmtId="2" fontId="20" fillId="5" borderId="0" xfId="2" applyNumberFormat="1" applyFont="1" applyFill="1" applyBorder="1" applyAlignment="1">
      <alignment horizontal="center"/>
    </xf>
    <xf numFmtId="0" fontId="0" fillId="5" borderId="0" xfId="0" applyFill="1" applyAlignment="1">
      <alignment horizontal="center"/>
    </xf>
    <xf numFmtId="10" fontId="0" fillId="5" borderId="14" xfId="0" applyNumberFormat="1" applyFill="1" applyBorder="1" applyAlignment="1">
      <alignment horizontal="center" wrapText="1"/>
    </xf>
    <xf numFmtId="0" fontId="8" fillId="5" borderId="0" xfId="0" applyFont="1" applyFill="1"/>
    <xf numFmtId="0" fontId="8" fillId="5" borderId="1" xfId="0" applyFont="1" applyFill="1" applyBorder="1" applyAlignment="1" applyProtection="1">
      <alignment horizontal="left"/>
      <protection locked="0"/>
    </xf>
    <xf numFmtId="0" fontId="0" fillId="5" borderId="0" xfId="0" applyFill="1" applyProtection="1">
      <protection locked="0"/>
    </xf>
    <xf numFmtId="10" fontId="0" fillId="5" borderId="0" xfId="0" applyNumberFormat="1" applyFill="1" applyAlignment="1">
      <alignment horizontal="left" wrapText="1"/>
    </xf>
    <xf numFmtId="0" fontId="27" fillId="5" borderId="0" xfId="0" applyFont="1" applyFill="1" applyAlignment="1">
      <alignment horizontal="left" vertical="center"/>
    </xf>
    <xf numFmtId="0" fontId="25" fillId="5" borderId="0" xfId="0" applyFont="1" applyFill="1" applyAlignment="1">
      <alignment horizontal="center" vertical="top"/>
    </xf>
    <xf numFmtId="0" fontId="52" fillId="5" borderId="0" xfId="0" applyFont="1" applyFill="1" applyAlignment="1">
      <alignment horizontal="left" vertical="top"/>
    </xf>
    <xf numFmtId="0" fontId="38" fillId="5" borderId="21" xfId="0" applyFont="1" applyFill="1" applyBorder="1" applyAlignment="1">
      <alignment horizontal="center"/>
    </xf>
    <xf numFmtId="0" fontId="38" fillId="5" borderId="2" xfId="0" applyFont="1" applyFill="1" applyBorder="1" applyAlignment="1">
      <alignment horizontal="center"/>
    </xf>
    <xf numFmtId="0" fontId="45" fillId="5" borderId="2" xfId="0" applyFont="1" applyFill="1" applyBorder="1" applyAlignment="1">
      <alignment vertical="top"/>
    </xf>
    <xf numFmtId="0" fontId="1" fillId="5" borderId="2" xfId="0" applyFont="1" applyFill="1" applyBorder="1" applyAlignment="1">
      <alignment vertical="top"/>
    </xf>
    <xf numFmtId="0" fontId="29" fillId="5" borderId="0" xfId="0" applyFont="1" applyFill="1" applyAlignment="1">
      <alignment vertical="center"/>
    </xf>
    <xf numFmtId="0" fontId="1" fillId="5" borderId="0" xfId="0" applyFont="1" applyFill="1" applyAlignment="1">
      <alignment vertical="center"/>
    </xf>
    <xf numFmtId="0" fontId="4" fillId="5" borderId="2" xfId="0" applyFont="1" applyFill="1" applyBorder="1" applyAlignment="1">
      <alignment vertical="center"/>
    </xf>
    <xf numFmtId="0" fontId="3" fillId="5" borderId="3" xfId="0" applyFont="1" applyFill="1" applyBorder="1" applyAlignment="1">
      <alignment vertical="center"/>
    </xf>
    <xf numFmtId="0" fontId="16" fillId="5" borderId="0" xfId="0" applyFont="1" applyFill="1" applyAlignment="1">
      <alignment horizontal="left" vertical="center"/>
    </xf>
    <xf numFmtId="0" fontId="18" fillId="5" borderId="0" xfId="0" applyFont="1" applyFill="1" applyAlignment="1">
      <alignment horizontal="left" vertical="center"/>
    </xf>
    <xf numFmtId="0" fontId="39" fillId="5" borderId="0" xfId="0" applyFont="1" applyFill="1" applyAlignment="1">
      <alignment vertical="center" textRotation="90"/>
    </xf>
    <xf numFmtId="0" fontId="0" fillId="5" borderId="0" xfId="0" applyFill="1" applyAlignment="1">
      <alignment horizontal="left" vertical="center"/>
    </xf>
    <xf numFmtId="0" fontId="3" fillId="5" borderId="2" xfId="0" applyFont="1" applyFill="1" applyBorder="1"/>
    <xf numFmtId="0" fontId="15" fillId="5" borderId="0" xfId="0" applyFont="1" applyFill="1" applyAlignment="1">
      <alignment horizontal="left" vertical="center"/>
    </xf>
    <xf numFmtId="0" fontId="19" fillId="5" borderId="0" xfId="0" applyFont="1" applyFill="1" applyAlignment="1">
      <alignment horizontal="left" vertical="center"/>
    </xf>
    <xf numFmtId="0" fontId="46" fillId="5" borderId="0" xfId="0" applyFont="1" applyFill="1" applyAlignment="1">
      <alignment vertical="center"/>
    </xf>
    <xf numFmtId="0" fontId="17" fillId="5" borderId="0" xfId="0" applyFont="1" applyFill="1" applyAlignment="1">
      <alignment horizontal="left" vertical="center"/>
    </xf>
    <xf numFmtId="0" fontId="3" fillId="3" borderId="0" xfId="0" applyFont="1" applyFill="1" applyAlignment="1">
      <alignment vertical="center"/>
    </xf>
    <xf numFmtId="0" fontId="3" fillId="4" borderId="0" xfId="0" applyFont="1" applyFill="1" applyAlignment="1">
      <alignment vertical="center"/>
    </xf>
    <xf numFmtId="0" fontId="28" fillId="5" borderId="0" xfId="0" applyFont="1" applyFill="1" applyAlignment="1">
      <alignment vertical="top"/>
    </xf>
    <xf numFmtId="0" fontId="28" fillId="5" borderId="0" xfId="0" applyFont="1" applyFill="1"/>
    <xf numFmtId="0" fontId="29" fillId="5" borderId="0" xfId="0" applyFont="1" applyFill="1" applyAlignment="1">
      <alignment vertical="top"/>
    </xf>
    <xf numFmtId="0" fontId="45" fillId="5" borderId="0" xfId="0" applyFont="1" applyFill="1" applyAlignment="1">
      <alignment vertical="top"/>
    </xf>
    <xf numFmtId="0" fontId="48" fillId="5" borderId="0" xfId="0" applyFont="1" applyFill="1" applyAlignment="1">
      <alignment vertical="top"/>
    </xf>
    <xf numFmtId="0" fontId="48" fillId="5" borderId="0" xfId="0" applyFont="1" applyFill="1" applyAlignment="1">
      <alignment horizontal="right" vertical="top"/>
    </xf>
    <xf numFmtId="0" fontId="29" fillId="5" borderId="0" xfId="0" applyFont="1" applyFill="1" applyAlignment="1">
      <alignment vertical="top" wrapText="1"/>
    </xf>
    <xf numFmtId="0" fontId="42" fillId="5" borderId="0" xfId="0" applyFont="1" applyFill="1" applyAlignment="1">
      <alignment wrapText="1"/>
    </xf>
    <xf numFmtId="0" fontId="28" fillId="5" borderId="0" xfId="0" applyFont="1" applyFill="1" applyAlignment="1">
      <alignment wrapText="1"/>
    </xf>
    <xf numFmtId="0" fontId="28" fillId="5" borderId="0" xfId="0" applyFont="1" applyFill="1" applyAlignment="1">
      <alignment horizontal="left" vertical="center" wrapText="1"/>
    </xf>
    <xf numFmtId="0" fontId="3" fillId="5" borderId="0" xfId="0" applyFont="1" applyFill="1"/>
    <xf numFmtId="0" fontId="41" fillId="5" borderId="0" xfId="0" applyFont="1" applyFill="1"/>
    <xf numFmtId="0" fontId="53" fillId="5" borderId="0" xfId="0" applyFont="1" applyFill="1"/>
    <xf numFmtId="0" fontId="53" fillId="5" borderId="0" xfId="0" applyFont="1" applyFill="1" applyAlignment="1">
      <alignment wrapText="1"/>
    </xf>
    <xf numFmtId="0" fontId="29" fillId="5" borderId="0" xfId="0" applyFont="1" applyFill="1" applyAlignment="1">
      <alignment horizontal="left"/>
    </xf>
    <xf numFmtId="0" fontId="12" fillId="5" borderId="0" xfId="0" applyFont="1" applyFill="1" applyAlignment="1">
      <alignment horizontal="center"/>
    </xf>
    <xf numFmtId="0" fontId="48" fillId="5" borderId="0" xfId="0" applyFont="1" applyFill="1" applyAlignment="1" applyProtection="1">
      <alignment vertical="top"/>
      <protection locked="0"/>
    </xf>
    <xf numFmtId="0" fontId="48" fillId="5" borderId="0" xfId="0" applyFont="1" applyFill="1" applyAlignment="1" applyProtection="1">
      <alignment horizontal="right" vertical="top"/>
      <protection locked="0"/>
    </xf>
    <xf numFmtId="0" fontId="3" fillId="5" borderId="0" xfId="0" applyFont="1" applyFill="1" applyProtection="1">
      <protection locked="0"/>
    </xf>
    <xf numFmtId="0" fontId="27" fillId="5" borderId="0" xfId="0" applyFont="1" applyFill="1" applyAlignment="1" applyProtection="1">
      <alignment horizontal="left" vertical="center"/>
      <protection locked="0"/>
    </xf>
    <xf numFmtId="0" fontId="0" fillId="5" borderId="0" xfId="0" applyFill="1" applyAlignment="1" applyProtection="1">
      <alignment horizontal="left" vertical="top"/>
      <protection locked="0"/>
    </xf>
    <xf numFmtId="0" fontId="0" fillId="5" borderId="0" xfId="0" applyFill="1" applyAlignment="1" applyProtection="1">
      <alignment vertical="center"/>
      <protection locked="0"/>
    </xf>
    <xf numFmtId="0" fontId="0" fillId="5" borderId="0" xfId="0" applyFill="1" applyAlignment="1" applyProtection="1">
      <alignment horizontal="right" vertical="top"/>
      <protection locked="0"/>
    </xf>
    <xf numFmtId="49" fontId="0" fillId="5" borderId="0" xfId="0" applyNumberFormat="1" applyFill="1" applyAlignment="1" applyProtection="1">
      <alignment horizontal="right" vertical="top"/>
      <protection locked="0"/>
    </xf>
    <xf numFmtId="0" fontId="10" fillId="5" borderId="0" xfId="0" applyFont="1" applyFill="1" applyAlignment="1" applyProtection="1">
      <alignment vertical="center"/>
      <protection locked="0"/>
    </xf>
    <xf numFmtId="0" fontId="43" fillId="5" borderId="0" xfId="1" applyFont="1" applyFill="1" applyProtection="1">
      <protection locked="0"/>
    </xf>
    <xf numFmtId="0" fontId="58" fillId="5" borderId="0" xfId="0" applyFont="1" applyFill="1" applyAlignment="1">
      <alignment horizontal="right"/>
    </xf>
    <xf numFmtId="0" fontId="51" fillId="7" borderId="0" xfId="0" applyFont="1" applyFill="1" applyAlignment="1">
      <alignment wrapText="1"/>
    </xf>
    <xf numFmtId="0" fontId="51" fillId="7" borderId="0" xfId="0" applyFont="1" applyFill="1"/>
    <xf numFmtId="0" fontId="8" fillId="7" borderId="0" xfId="0" applyFont="1" applyFill="1"/>
    <xf numFmtId="0" fontId="8" fillId="7" borderId="0" xfId="0" applyFont="1" applyFill="1" applyAlignment="1">
      <alignment wrapText="1"/>
    </xf>
    <xf numFmtId="0" fontId="8" fillId="7" borderId="0" xfId="0" applyFont="1" applyFill="1" applyAlignment="1">
      <alignment horizontal="center" wrapText="1"/>
    </xf>
    <xf numFmtId="0" fontId="8" fillId="5" borderId="0" xfId="0" applyFont="1" applyFill="1" applyAlignment="1">
      <alignment vertical="center"/>
    </xf>
    <xf numFmtId="0" fontId="8" fillId="5" borderId="0" xfId="0" applyFont="1" applyFill="1" applyAlignment="1">
      <alignment horizontal="right" vertical="center"/>
    </xf>
    <xf numFmtId="0" fontId="8" fillId="7" borderId="0" xfId="0" applyFont="1" applyFill="1" applyAlignment="1">
      <alignment horizontal="right"/>
    </xf>
    <xf numFmtId="0" fontId="8" fillId="5" borderId="0" xfId="0" applyFont="1" applyFill="1" applyProtection="1">
      <protection locked="0"/>
    </xf>
    <xf numFmtId="49" fontId="8" fillId="7" borderId="0" xfId="0" applyNumberFormat="1" applyFont="1" applyFill="1" applyAlignment="1">
      <alignment horizontal="left" vertical="top"/>
    </xf>
    <xf numFmtId="0" fontId="8" fillId="5" borderId="0" xfId="0" applyFont="1" applyFill="1" applyAlignment="1" applyProtection="1">
      <alignment vertical="center"/>
      <protection locked="0"/>
    </xf>
    <xf numFmtId="0" fontId="8" fillId="5" borderId="0" xfId="0" applyFont="1" applyFill="1" applyAlignment="1" applyProtection="1">
      <alignment horizontal="right" vertical="center"/>
      <protection locked="0"/>
    </xf>
    <xf numFmtId="0" fontId="8" fillId="5" borderId="0" xfId="0" applyFont="1" applyFill="1" applyAlignment="1" applyProtection="1">
      <alignment horizontal="left" vertical="top" wrapText="1"/>
      <protection locked="0"/>
    </xf>
    <xf numFmtId="0" fontId="44" fillId="5" borderId="0" xfId="0" applyFont="1" applyFill="1" applyAlignment="1">
      <alignment vertical="center"/>
    </xf>
    <xf numFmtId="0" fontId="1" fillId="5" borderId="2" xfId="0" applyFont="1" applyFill="1" applyBorder="1" applyAlignment="1">
      <alignment vertical="center"/>
    </xf>
    <xf numFmtId="0" fontId="3" fillId="5" borderId="26" xfId="0" applyFont="1" applyFill="1" applyBorder="1" applyAlignment="1">
      <alignment vertical="center"/>
    </xf>
    <xf numFmtId="0" fontId="3" fillId="5" borderId="26" xfId="0" applyFont="1" applyFill="1" applyBorder="1"/>
    <xf numFmtId="0" fontId="6" fillId="5" borderId="0" xfId="0" applyFont="1" applyFill="1" applyAlignment="1">
      <alignment horizontal="center"/>
    </xf>
    <xf numFmtId="0" fontId="0" fillId="5" borderId="1" xfId="0" applyFill="1" applyBorder="1" applyAlignment="1">
      <alignment horizontal="left"/>
    </xf>
    <xf numFmtId="10" fontId="0" fillId="5" borderId="1" xfId="0" applyNumberFormat="1" applyFill="1" applyBorder="1" applyAlignment="1">
      <alignment horizontal="left" wrapText="1"/>
    </xf>
    <xf numFmtId="0" fontId="61" fillId="5" borderId="0" xfId="0" applyFont="1" applyFill="1" applyAlignment="1">
      <alignment horizontal="center" vertical="top"/>
    </xf>
    <xf numFmtId="0" fontId="62" fillId="5" borderId="0" xfId="0" applyFont="1" applyFill="1"/>
    <xf numFmtId="0" fontId="47" fillId="5" borderId="19" xfId="0" applyFont="1" applyFill="1" applyBorder="1" applyAlignment="1">
      <alignment vertical="center"/>
    </xf>
    <xf numFmtId="0" fontId="47" fillId="5" borderId="20" xfId="0" applyFont="1" applyFill="1" applyBorder="1" applyAlignment="1">
      <alignment vertical="center"/>
    </xf>
    <xf numFmtId="0" fontId="0" fillId="5" borderId="0" xfId="0" applyFill="1" applyAlignment="1">
      <alignment vertical="top"/>
    </xf>
    <xf numFmtId="0" fontId="0" fillId="5" borderId="0" xfId="0" applyFill="1" applyAlignment="1">
      <alignment vertical="top" wrapText="1"/>
    </xf>
    <xf numFmtId="0" fontId="0" fillId="5" borderId="0" xfId="0" applyFill="1" applyAlignment="1">
      <alignment horizontal="left" vertical="top" wrapText="1"/>
    </xf>
    <xf numFmtId="0" fontId="0" fillId="7" borderId="0" xfId="0" applyFill="1" applyAlignment="1">
      <alignment vertical="top"/>
    </xf>
    <xf numFmtId="0" fontId="66" fillId="5" borderId="0" xfId="0" applyFont="1" applyFill="1"/>
    <xf numFmtId="0" fontId="50" fillId="5" borderId="0" xfId="0" applyFont="1" applyFill="1" applyAlignment="1">
      <alignment vertical="top"/>
    </xf>
    <xf numFmtId="0" fontId="26" fillId="5" borderId="0" xfId="0" applyFont="1" applyFill="1"/>
    <xf numFmtId="0" fontId="26" fillId="5" borderId="0" xfId="0" applyFont="1" applyFill="1" applyAlignment="1">
      <alignment horizontal="left" vertical="center"/>
    </xf>
    <xf numFmtId="0" fontId="3" fillId="5" borderId="0" xfId="0" applyFont="1" applyFill="1" applyAlignment="1">
      <alignment horizontal="left"/>
    </xf>
    <xf numFmtId="0" fontId="3" fillId="5" borderId="21" xfId="0" applyFont="1" applyFill="1" applyBorder="1" applyAlignment="1">
      <alignment vertical="center"/>
    </xf>
    <xf numFmtId="0" fontId="64" fillId="5" borderId="0" xfId="0" applyFont="1" applyFill="1" applyAlignment="1" applyProtection="1">
      <alignment vertical="center"/>
      <protection locked="0"/>
    </xf>
    <xf numFmtId="0" fontId="67" fillId="5" borderId="0" xfId="0" applyFont="1" applyFill="1"/>
    <xf numFmtId="0" fontId="0" fillId="11" borderId="0" xfId="0" applyFill="1" applyAlignment="1">
      <alignment vertical="top"/>
    </xf>
    <xf numFmtId="49" fontId="0" fillId="11" borderId="0" xfId="0" applyNumberFormat="1" applyFill="1" applyAlignment="1">
      <alignment horizontal="left" vertical="top"/>
    </xf>
    <xf numFmtId="0" fontId="8" fillId="11" borderId="0" xfId="0" applyFont="1" applyFill="1" applyAlignment="1">
      <alignment horizontal="left" vertical="top"/>
    </xf>
    <xf numFmtId="0" fontId="0" fillId="11" borderId="0" xfId="0" applyFill="1"/>
    <xf numFmtId="0" fontId="0" fillId="11" borderId="0" xfId="0" applyFill="1" applyAlignment="1">
      <alignment horizontal="left" vertical="top"/>
    </xf>
    <xf numFmtId="0" fontId="33" fillId="5" borderId="0" xfId="0" applyFont="1" applyFill="1"/>
    <xf numFmtId="10" fontId="8" fillId="5" borderId="0" xfId="0" applyNumberFormat="1" applyFont="1" applyFill="1" applyAlignment="1">
      <alignment horizontal="center" wrapText="1"/>
    </xf>
    <xf numFmtId="0" fontId="0" fillId="11" borderId="0" xfId="0" applyFill="1" applyAlignment="1">
      <alignment horizontal="right"/>
    </xf>
    <xf numFmtId="10" fontId="0" fillId="11" borderId="0" xfId="0" applyNumberFormat="1" applyFill="1" applyAlignment="1">
      <alignment horizontal="center" wrapText="1"/>
    </xf>
    <xf numFmtId="0" fontId="0" fillId="11" borderId="0" xfId="0" applyFill="1" applyAlignment="1">
      <alignment wrapText="1"/>
    </xf>
    <xf numFmtId="0" fontId="3" fillId="5" borderId="19" xfId="0" applyFont="1" applyFill="1" applyBorder="1" applyAlignment="1">
      <alignment vertical="center"/>
    </xf>
    <xf numFmtId="10" fontId="0" fillId="5" borderId="0" xfId="0" applyNumberFormat="1" applyFill="1" applyAlignment="1">
      <alignment horizontal="center"/>
    </xf>
    <xf numFmtId="0" fontId="51" fillId="5" borderId="0" xfId="0" applyFont="1" applyFill="1" applyAlignment="1">
      <alignment wrapText="1"/>
    </xf>
    <xf numFmtId="0" fontId="27" fillId="5" borderId="3" xfId="0" applyFont="1" applyFill="1" applyBorder="1"/>
    <xf numFmtId="0" fontId="27" fillId="5" borderId="20" xfId="0" applyFont="1" applyFill="1" applyBorder="1"/>
    <xf numFmtId="0" fontId="71" fillId="5" borderId="0" xfId="0" applyFont="1" applyFill="1" applyAlignment="1">
      <alignment vertical="top" wrapText="1"/>
    </xf>
    <xf numFmtId="0" fontId="0" fillId="5" borderId="0" xfId="0" applyFill="1" applyAlignment="1">
      <alignment horizontal="center" vertical="center"/>
    </xf>
    <xf numFmtId="0" fontId="14" fillId="5" borderId="2" xfId="0" applyFont="1" applyFill="1" applyBorder="1" applyAlignment="1">
      <alignment horizontal="left" vertical="center" indent="8"/>
    </xf>
    <xf numFmtId="49" fontId="0" fillId="11" borderId="0" xfId="0" applyNumberFormat="1" applyFill="1" applyAlignment="1">
      <alignment horizontal="right"/>
    </xf>
    <xf numFmtId="0" fontId="10" fillId="5" borderId="0" xfId="0" applyFont="1" applyFill="1"/>
    <xf numFmtId="0" fontId="64" fillId="5" borderId="0" xfId="0" applyFont="1" applyFill="1"/>
    <xf numFmtId="0" fontId="75" fillId="5" borderId="0" xfId="0" applyFont="1" applyFill="1"/>
    <xf numFmtId="0" fontId="75" fillId="5" borderId="0" xfId="0" applyFont="1" applyFill="1" applyAlignment="1">
      <alignment wrapText="1"/>
    </xf>
    <xf numFmtId="0" fontId="34" fillId="5" borderId="0" xfId="0" applyFont="1" applyFill="1"/>
    <xf numFmtId="0" fontId="8" fillId="5" borderId="0" xfId="0" applyFont="1" applyFill="1" applyAlignment="1">
      <alignment wrapText="1"/>
    </xf>
    <xf numFmtId="0" fontId="38" fillId="5" borderId="0" xfId="0" applyFont="1" applyFill="1" applyAlignment="1">
      <alignment horizontal="center"/>
    </xf>
    <xf numFmtId="0" fontId="51" fillId="5" borderId="0" xfId="0" applyFont="1" applyFill="1" applyAlignment="1">
      <alignment vertical="top" wrapText="1"/>
    </xf>
    <xf numFmtId="0" fontId="38" fillId="5" borderId="3" xfId="0" applyFont="1" applyFill="1" applyBorder="1" applyAlignment="1">
      <alignment horizontal="center"/>
    </xf>
    <xf numFmtId="0" fontId="38" fillId="5" borderId="19" xfId="0" applyFont="1" applyFill="1" applyBorder="1" applyAlignment="1">
      <alignment horizontal="center"/>
    </xf>
    <xf numFmtId="0" fontId="0" fillId="5" borderId="0" xfId="0" applyFill="1" applyAlignment="1">
      <alignment horizontal="left" wrapText="1"/>
    </xf>
    <xf numFmtId="0" fontId="8" fillId="5" borderId="0" xfId="0" applyFont="1" applyFill="1" applyAlignment="1">
      <alignment horizontal="right" vertical="top"/>
    </xf>
    <xf numFmtId="0" fontId="51" fillId="5" borderId="0" xfId="0" applyFont="1" applyFill="1" applyAlignment="1">
      <alignment horizontal="center"/>
    </xf>
    <xf numFmtId="0" fontId="3" fillId="6" borderId="2" xfId="0" applyFont="1" applyFill="1" applyBorder="1" applyAlignment="1">
      <alignment vertical="center"/>
    </xf>
    <xf numFmtId="0" fontId="3" fillId="9" borderId="2" xfId="0" applyFont="1" applyFill="1" applyBorder="1" applyAlignment="1">
      <alignment vertical="center"/>
    </xf>
    <xf numFmtId="0" fontId="51" fillId="5" borderId="0" xfId="0" applyFont="1" applyFill="1"/>
    <xf numFmtId="0" fontId="27" fillId="5" borderId="0" xfId="0" applyFont="1" applyFill="1" applyAlignment="1">
      <alignment vertical="center"/>
    </xf>
    <xf numFmtId="0" fontId="7" fillId="5" borderId="0" xfId="0" applyFont="1" applyFill="1" applyAlignment="1">
      <alignment wrapText="1"/>
    </xf>
    <xf numFmtId="0" fontId="7" fillId="5" borderId="0" xfId="0" applyFont="1" applyFill="1" applyAlignment="1" applyProtection="1">
      <alignment wrapText="1"/>
      <protection locked="0"/>
    </xf>
    <xf numFmtId="0" fontId="60" fillId="5" borderId="34" xfId="0" applyFont="1" applyFill="1" applyBorder="1" applyAlignment="1">
      <alignment horizontal="center"/>
    </xf>
    <xf numFmtId="0" fontId="60" fillId="5" borderId="0" xfId="0" applyFont="1" applyFill="1" applyAlignment="1">
      <alignment horizontal="center"/>
    </xf>
    <xf numFmtId="0" fontId="8" fillId="5" borderId="0" xfId="1" applyFont="1" applyFill="1" applyBorder="1" applyAlignment="1" applyProtection="1">
      <alignment horizontal="center" vertical="center"/>
    </xf>
    <xf numFmtId="0" fontId="12" fillId="5" borderId="0" xfId="0" applyFont="1" applyFill="1" applyAlignment="1" applyProtection="1">
      <alignment horizontal="center"/>
      <protection locked="0"/>
    </xf>
    <xf numFmtId="49" fontId="4" fillId="5" borderId="0" xfId="0" applyNumberFormat="1" applyFont="1" applyFill="1" applyAlignment="1">
      <alignment horizontal="center" vertical="center" textRotation="90"/>
    </xf>
    <xf numFmtId="0" fontId="23" fillId="5" borderId="0" xfId="0" applyFont="1" applyFill="1" applyAlignment="1">
      <alignment vertical="center"/>
    </xf>
    <xf numFmtId="0" fontId="32" fillId="5" borderId="0" xfId="0" applyFont="1" applyFill="1" applyAlignment="1">
      <alignment horizontal="center" vertical="top"/>
    </xf>
    <xf numFmtId="0" fontId="15" fillId="5" borderId="0" xfId="0" applyFont="1" applyFill="1"/>
    <xf numFmtId="0" fontId="50" fillId="5" borderId="0" xfId="0" applyFont="1" applyFill="1"/>
    <xf numFmtId="0" fontId="50" fillId="5" borderId="0" xfId="0" applyFont="1" applyFill="1" applyAlignment="1">
      <alignment horizontal="center"/>
    </xf>
    <xf numFmtId="0" fontId="14" fillId="5" borderId="0" xfId="0" applyFont="1" applyFill="1" applyAlignment="1">
      <alignment horizontal="center" vertical="center"/>
    </xf>
    <xf numFmtId="0" fontId="26" fillId="5" borderId="0" xfId="0" applyFont="1" applyFill="1" applyAlignment="1">
      <alignment horizontal="center"/>
    </xf>
    <xf numFmtId="0" fontId="8" fillId="5" borderId="0" xfId="1" applyFont="1" applyFill="1" applyBorder="1" applyAlignment="1" applyProtection="1">
      <alignment horizontal="right" vertical="top" wrapText="1"/>
    </xf>
    <xf numFmtId="0" fontId="27" fillId="5" borderId="0" xfId="0" applyFont="1" applyFill="1" applyAlignment="1">
      <alignment horizontal="center" vertical="center"/>
    </xf>
    <xf numFmtId="0" fontId="8" fillId="5" borderId="0" xfId="0" applyFont="1" applyFill="1" applyAlignment="1">
      <alignment horizontal="right" vertical="top" wrapText="1"/>
    </xf>
    <xf numFmtId="0" fontId="27" fillId="5" borderId="0" xfId="0" applyFont="1" applyFill="1"/>
    <xf numFmtId="0" fontId="27" fillId="5" borderId="0" xfId="0" applyFont="1" applyFill="1" applyAlignment="1">
      <alignment horizontal="left"/>
    </xf>
    <xf numFmtId="0" fontId="9" fillId="5" borderId="0" xfId="1" applyFill="1" applyBorder="1" applyAlignment="1" applyProtection="1">
      <alignment vertical="top" wrapText="1"/>
    </xf>
    <xf numFmtId="0" fontId="0" fillId="10" borderId="36" xfId="0" applyFill="1" applyBorder="1" applyAlignment="1" applyProtection="1">
      <alignment horizontal="center" vertical="center"/>
      <protection locked="0"/>
    </xf>
    <xf numFmtId="49" fontId="4" fillId="5" borderId="0" xfId="0" applyNumberFormat="1" applyFont="1" applyFill="1" applyAlignment="1" applyProtection="1">
      <alignment horizontal="center" vertical="center" textRotation="90"/>
      <protection locked="0"/>
    </xf>
    <xf numFmtId="0" fontId="4" fillId="5" borderId="0" xfId="0" applyFont="1" applyFill="1" applyAlignment="1" applyProtection="1">
      <alignment horizontal="center" vertical="center" textRotation="90"/>
      <protection locked="0"/>
    </xf>
    <xf numFmtId="0" fontId="25" fillId="5" borderId="0" xfId="0" applyFont="1" applyFill="1" applyAlignment="1" applyProtection="1">
      <alignment horizontal="center" vertical="top"/>
      <protection locked="0"/>
    </xf>
    <xf numFmtId="0" fontId="28" fillId="5" borderId="0" xfId="0" applyFont="1" applyFill="1" applyAlignment="1" applyProtection="1">
      <alignment vertical="top"/>
      <protection locked="0"/>
    </xf>
    <xf numFmtId="0" fontId="28" fillId="5" borderId="0" xfId="0" applyFont="1" applyFill="1" applyProtection="1">
      <protection locked="0"/>
    </xf>
    <xf numFmtId="0" fontId="58" fillId="5" borderId="0" xfId="0" applyFont="1" applyFill="1" applyAlignment="1" applyProtection="1">
      <alignment horizontal="right"/>
      <protection locked="0"/>
    </xf>
    <xf numFmtId="0" fontId="0" fillId="5" borderId="0" xfId="0" applyFill="1" applyAlignment="1" applyProtection="1">
      <alignment horizontal="left" vertical="center"/>
      <protection locked="0"/>
    </xf>
    <xf numFmtId="0" fontId="29" fillId="5" borderId="0" xfId="0" applyFont="1" applyFill="1" applyAlignment="1" applyProtection="1">
      <alignment vertical="top"/>
      <protection locked="0"/>
    </xf>
    <xf numFmtId="0" fontId="45" fillId="5" borderId="0" xfId="0" applyFont="1" applyFill="1" applyAlignment="1" applyProtection="1">
      <alignment vertical="top"/>
      <protection locked="0"/>
    </xf>
    <xf numFmtId="0" fontId="1" fillId="5" borderId="0" xfId="0" applyFont="1" applyFill="1" applyAlignment="1" applyProtection="1">
      <alignment horizontal="right"/>
      <protection locked="0"/>
    </xf>
    <xf numFmtId="0" fontId="0" fillId="5" borderId="0" xfId="0" applyFill="1" applyAlignment="1" applyProtection="1">
      <alignment wrapText="1"/>
      <protection locked="0"/>
    </xf>
    <xf numFmtId="0" fontId="0" fillId="5" borderId="0" xfId="0" applyFill="1" applyAlignment="1" applyProtection="1">
      <alignment horizontal="left" vertical="top" wrapText="1"/>
      <protection locked="0"/>
    </xf>
    <xf numFmtId="0" fontId="14" fillId="5" borderId="0" xfId="0" applyFont="1" applyFill="1" applyProtection="1">
      <protection locked="0"/>
    </xf>
    <xf numFmtId="0" fontId="41" fillId="5" borderId="0" xfId="0" applyFont="1" applyFill="1" applyProtection="1">
      <protection locked="0"/>
    </xf>
    <xf numFmtId="0" fontId="42" fillId="5" borderId="0" xfId="0" applyFont="1" applyFill="1" applyAlignment="1" applyProtection="1">
      <alignment vertical="top"/>
      <protection locked="0"/>
    </xf>
    <xf numFmtId="0" fontId="3" fillId="5" borderId="0" xfId="0" applyFont="1" applyFill="1" applyAlignment="1" applyProtection="1">
      <alignment horizontal="left"/>
      <protection locked="0"/>
    </xf>
    <xf numFmtId="0" fontId="29" fillId="5" borderId="0" xfId="0" applyFont="1" applyFill="1" applyAlignment="1" applyProtection="1">
      <alignment vertical="top" wrapText="1"/>
      <protection locked="0"/>
    </xf>
    <xf numFmtId="0" fontId="73" fillId="5" borderId="0" xfId="0" applyFont="1" applyFill="1" applyAlignment="1" applyProtection="1">
      <alignment vertical="top" wrapText="1"/>
      <protection locked="0"/>
    </xf>
    <xf numFmtId="0" fontId="4" fillId="5" borderId="0" xfId="0" applyFont="1" applyFill="1" applyAlignment="1" applyProtection="1">
      <alignment vertical="center"/>
      <protection locked="0"/>
    </xf>
    <xf numFmtId="0" fontId="3" fillId="5" borderId="0" xfId="0" applyFont="1" applyFill="1" applyAlignment="1" applyProtection="1">
      <alignment vertical="center"/>
      <protection locked="0"/>
    </xf>
    <xf numFmtId="0" fontId="5" fillId="5" borderId="0" xfId="0" applyFont="1" applyFill="1" applyAlignment="1" applyProtection="1">
      <alignment vertical="center"/>
      <protection locked="0"/>
    </xf>
    <xf numFmtId="49" fontId="4" fillId="5" borderId="0" xfId="0" applyNumberFormat="1" applyFont="1" applyFill="1" applyAlignment="1" applyProtection="1">
      <alignment vertical="center" textRotation="90"/>
      <protection locked="0"/>
    </xf>
    <xf numFmtId="0" fontId="17" fillId="5" borderId="0" xfId="0" applyFont="1" applyFill="1" applyAlignment="1" applyProtection="1">
      <alignment vertical="center"/>
      <protection locked="0"/>
    </xf>
    <xf numFmtId="0" fontId="9" fillId="5" borderId="0" xfId="1" applyFill="1" applyAlignment="1" applyProtection="1">
      <alignment horizontal="left" vertical="center"/>
      <protection locked="0"/>
    </xf>
    <xf numFmtId="49" fontId="14" fillId="5" borderId="0" xfId="0" applyNumberFormat="1" applyFont="1" applyFill="1" applyAlignment="1">
      <alignment horizontal="left" vertical="top"/>
    </xf>
    <xf numFmtId="0" fontId="2" fillId="5" borderId="2" xfId="0" applyFont="1" applyFill="1" applyBorder="1" applyAlignment="1">
      <alignment vertical="center"/>
    </xf>
    <xf numFmtId="0" fontId="1"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0" fillId="5" borderId="2" xfId="0" applyFill="1" applyBorder="1" applyAlignment="1">
      <alignment vertical="center"/>
    </xf>
    <xf numFmtId="49" fontId="0" fillId="5" borderId="0" xfId="0" applyNumberFormat="1" applyFill="1"/>
    <xf numFmtId="0" fontId="8" fillId="5" borderId="0" xfId="0" applyFont="1" applyFill="1" applyAlignment="1">
      <alignment horizontal="right"/>
    </xf>
    <xf numFmtId="0" fontId="8" fillId="7" borderId="0" xfId="0" applyFont="1" applyFill="1" applyAlignment="1">
      <alignment vertical="top"/>
    </xf>
    <xf numFmtId="0" fontId="8" fillId="7" borderId="0" xfId="0" applyFont="1" applyFill="1" applyAlignment="1">
      <alignment horizontal="right" vertical="top"/>
    </xf>
    <xf numFmtId="0" fontId="8" fillId="11" borderId="0" xfId="0" applyFont="1" applyFill="1" applyAlignment="1">
      <alignment vertical="top"/>
    </xf>
    <xf numFmtId="0" fontId="8" fillId="11" borderId="0" xfId="0" applyFont="1" applyFill="1" applyAlignment="1">
      <alignment horizontal="right" vertical="top"/>
    </xf>
    <xf numFmtId="0" fontId="8" fillId="5" borderId="0" xfId="0" applyFont="1" applyFill="1" applyAlignment="1">
      <alignment vertical="top"/>
    </xf>
    <xf numFmtId="0" fontId="8" fillId="7" borderId="0" xfId="1" applyFont="1" applyFill="1" applyBorder="1" applyAlignment="1" applyProtection="1">
      <alignment horizontal="right" vertical="top"/>
    </xf>
    <xf numFmtId="0" fontId="8" fillId="7" borderId="0" xfId="1" applyFont="1" applyFill="1" applyBorder="1" applyAlignment="1" applyProtection="1">
      <alignment horizontal="right" vertical="top" wrapText="1"/>
    </xf>
    <xf numFmtId="14" fontId="8" fillId="5" borderId="0" xfId="0" applyNumberFormat="1" applyFont="1" applyFill="1" applyAlignment="1">
      <alignment horizontal="left"/>
    </xf>
    <xf numFmtId="0" fontId="57" fillId="5" borderId="0" xfId="0" applyFont="1" applyFill="1" applyAlignment="1">
      <alignment wrapText="1"/>
    </xf>
    <xf numFmtId="0" fontId="57" fillId="5" borderId="0" xfId="0" applyFont="1" applyFill="1" applyAlignment="1">
      <alignment horizontal="center" wrapText="1"/>
    </xf>
    <xf numFmtId="0" fontId="57" fillId="5" borderId="0" xfId="0" applyFont="1" applyFill="1" applyAlignment="1">
      <alignment vertical="top" wrapText="1"/>
    </xf>
    <xf numFmtId="0" fontId="37" fillId="5" borderId="0" xfId="0" applyFont="1" applyFill="1" applyAlignment="1">
      <alignment vertical="top"/>
    </xf>
    <xf numFmtId="0" fontId="37" fillId="0" borderId="0" xfId="0" applyFont="1" applyAlignment="1">
      <alignment vertical="top"/>
    </xf>
    <xf numFmtId="0" fontId="18" fillId="0" borderId="0" xfId="0" applyFont="1" applyAlignment="1">
      <alignment horizontal="center"/>
    </xf>
    <xf numFmtId="0" fontId="0" fillId="0" borderId="0" xfId="0" applyAlignment="1">
      <alignment horizontal="center"/>
    </xf>
    <xf numFmtId="0" fontId="37" fillId="5" borderId="18" xfId="0" applyFont="1" applyFill="1" applyBorder="1" applyAlignment="1">
      <alignment horizontal="center" vertical="top"/>
    </xf>
    <xf numFmtId="0" fontId="10" fillId="5" borderId="0" xfId="0" applyFont="1" applyFill="1" applyAlignment="1">
      <alignment horizontal="center" vertical="center" wrapText="1"/>
    </xf>
    <xf numFmtId="0" fontId="18" fillId="5" borderId="0" xfId="0" applyFont="1" applyFill="1" applyAlignment="1">
      <alignment horizontal="center"/>
    </xf>
    <xf numFmtId="0" fontId="37" fillId="5" borderId="0" xfId="0" applyFont="1" applyFill="1" applyAlignment="1">
      <alignment horizontal="center" vertical="top"/>
    </xf>
    <xf numFmtId="0" fontId="10" fillId="5" borderId="0" xfId="0" applyFont="1" applyFill="1" applyAlignment="1">
      <alignment horizontal="center" vertical="center"/>
    </xf>
    <xf numFmtId="0" fontId="10" fillId="5" borderId="0" xfId="0" applyFont="1" applyFill="1" applyAlignment="1">
      <alignment vertical="center"/>
    </xf>
    <xf numFmtId="0" fontId="0" fillId="5" borderId="0" xfId="0" applyFill="1" applyAlignment="1" applyProtection="1">
      <alignment horizontal="center" vertical="center"/>
      <protection locked="0"/>
    </xf>
    <xf numFmtId="0" fontId="0" fillId="5" borderId="0" xfId="0" applyFill="1" applyAlignment="1">
      <alignment horizontal="right" vertical="top"/>
    </xf>
    <xf numFmtId="49" fontId="0" fillId="5" borderId="0" xfId="0" applyNumberFormat="1" applyFill="1" applyAlignment="1">
      <alignment horizontal="right" vertical="top"/>
    </xf>
    <xf numFmtId="49" fontId="14" fillId="5" borderId="0" xfId="0" applyNumberFormat="1" applyFont="1" applyFill="1" applyAlignment="1">
      <alignment horizontal="right"/>
    </xf>
    <xf numFmtId="0" fontId="22" fillId="5" borderId="0" xfId="0" applyFont="1" applyFill="1" applyAlignment="1">
      <alignment horizontal="left" vertical="top"/>
    </xf>
    <xf numFmtId="0" fontId="68" fillId="5" borderId="0" xfId="0" applyFont="1" applyFill="1" applyAlignment="1">
      <alignment horizontal="left" vertical="top" wrapText="1"/>
    </xf>
    <xf numFmtId="0" fontId="63" fillId="5" borderId="0" xfId="1" applyFont="1" applyFill="1" applyAlignment="1" applyProtection="1">
      <alignment vertical="top" wrapText="1"/>
    </xf>
    <xf numFmtId="0" fontId="64" fillId="5" borderId="0" xfId="0" applyFont="1" applyFill="1" applyAlignment="1">
      <alignment horizontal="left" vertical="top"/>
    </xf>
    <xf numFmtId="49" fontId="0" fillId="0" borderId="0" xfId="0" applyNumberFormat="1"/>
    <xf numFmtId="0" fontId="64" fillId="5" borderId="0" xfId="0" applyFont="1" applyFill="1" applyAlignment="1">
      <alignment horizontal="left"/>
    </xf>
    <xf numFmtId="0" fontId="14" fillId="5" borderId="0" xfId="0" applyFont="1" applyFill="1" applyAlignment="1">
      <alignment horizontal="left" vertical="top"/>
    </xf>
    <xf numFmtId="0" fontId="14" fillId="5" borderId="0" xfId="0" applyFont="1" applyFill="1" applyAlignment="1">
      <alignment horizontal="left" wrapText="1"/>
    </xf>
    <xf numFmtId="0" fontId="74" fillId="0" borderId="0" xfId="0" applyFont="1"/>
    <xf numFmtId="0" fontId="0" fillId="5" borderId="0" xfId="0" applyFill="1" applyAlignment="1">
      <alignment horizontal="right" vertical="center"/>
    </xf>
    <xf numFmtId="49" fontId="0" fillId="5" borderId="0" xfId="0" applyNumberFormat="1" applyFill="1" applyAlignment="1">
      <alignment vertical="center"/>
    </xf>
    <xf numFmtId="0" fontId="15" fillId="5" borderId="0" xfId="0" applyFont="1" applyFill="1" applyAlignment="1">
      <alignment vertical="top"/>
    </xf>
    <xf numFmtId="0" fontId="7" fillId="5" borderId="0" xfId="0" applyFont="1" applyFill="1" applyAlignment="1">
      <alignment horizontal="left" vertical="top"/>
    </xf>
    <xf numFmtId="0" fontId="7" fillId="5" borderId="0" xfId="0" applyFont="1" applyFill="1" applyAlignment="1">
      <alignment horizontal="left" vertical="top" wrapText="1"/>
    </xf>
    <xf numFmtId="0" fontId="26" fillId="5" borderId="0" xfId="0" applyFont="1" applyFill="1" applyAlignment="1">
      <alignment horizontal="right" vertical="top"/>
    </xf>
    <xf numFmtId="49" fontId="22" fillId="5" borderId="0" xfId="0" applyNumberFormat="1" applyFont="1" applyFill="1" applyAlignment="1">
      <alignment vertical="top"/>
    </xf>
    <xf numFmtId="49" fontId="22" fillId="5" borderId="0" xfId="0" applyNumberFormat="1" applyFont="1" applyFill="1"/>
    <xf numFmtId="49" fontId="14" fillId="5" borderId="0" xfId="0" applyNumberFormat="1" applyFont="1" applyFill="1" applyAlignment="1">
      <alignment vertical="top"/>
    </xf>
    <xf numFmtId="49" fontId="14" fillId="5" borderId="0" xfId="0" applyNumberFormat="1" applyFont="1" applyFill="1"/>
    <xf numFmtId="0" fontId="9" fillId="5" borderId="0" xfId="1" applyFill="1" applyAlignment="1" applyProtection="1">
      <alignment wrapText="1"/>
    </xf>
    <xf numFmtId="0" fontId="21" fillId="5" borderId="0" xfId="0" applyFont="1" applyFill="1" applyAlignment="1" applyProtection="1">
      <alignment horizontal="center"/>
      <protection locked="0"/>
    </xf>
    <xf numFmtId="49" fontId="14" fillId="5" borderId="0" xfId="0" applyNumberFormat="1" applyFont="1" applyFill="1" applyAlignment="1" applyProtection="1">
      <alignment horizontal="right"/>
      <protection locked="0"/>
    </xf>
    <xf numFmtId="49" fontId="0" fillId="5" borderId="0" xfId="0" applyNumberFormat="1" applyFill="1" applyProtection="1">
      <protection locked="0"/>
    </xf>
    <xf numFmtId="0" fontId="64" fillId="5" borderId="0" xfId="0" applyFont="1" applyFill="1" applyAlignment="1" applyProtection="1">
      <alignment horizontal="left" vertical="top"/>
      <protection locked="0"/>
    </xf>
    <xf numFmtId="0" fontId="64" fillId="5" borderId="0" xfId="0" applyFont="1" applyFill="1" applyAlignment="1" applyProtection="1">
      <alignment horizontal="left"/>
      <protection locked="0"/>
    </xf>
    <xf numFmtId="0" fontId="64" fillId="5" borderId="0" xfId="0" applyFont="1" applyFill="1" applyProtection="1">
      <protection locked="0"/>
    </xf>
    <xf numFmtId="0" fontId="68" fillId="5" borderId="0" xfId="0" applyFont="1" applyFill="1" applyAlignment="1" applyProtection="1">
      <alignment horizontal="left" vertical="top" wrapText="1"/>
      <protection locked="0"/>
    </xf>
    <xf numFmtId="49" fontId="0" fillId="5" borderId="0" xfId="0" applyNumberFormat="1" applyFill="1" applyAlignment="1" applyProtection="1">
      <alignment horizontal="right"/>
      <protection locked="0"/>
    </xf>
    <xf numFmtId="0" fontId="0" fillId="5" borderId="0" xfId="0" applyFill="1" applyAlignment="1" applyProtection="1">
      <alignment horizontal="left" wrapText="1"/>
      <protection locked="0"/>
    </xf>
    <xf numFmtId="0" fontId="44" fillId="2" borderId="0" xfId="0" applyFont="1" applyFill="1" applyAlignment="1">
      <alignment horizontal="left" vertical="center"/>
    </xf>
    <xf numFmtId="0" fontId="4" fillId="2" borderId="0" xfId="0" applyFont="1" applyFill="1" applyAlignment="1">
      <alignment horizontal="left" vertical="center"/>
    </xf>
    <xf numFmtId="0" fontId="14" fillId="5" borderId="2" xfId="0" applyFont="1" applyFill="1" applyBorder="1" applyAlignment="1">
      <alignment horizontal="center" vertical="center"/>
    </xf>
    <xf numFmtId="0" fontId="26" fillId="5" borderId="0" xfId="0" applyFont="1" applyFill="1" applyAlignment="1">
      <alignment vertical="top"/>
    </xf>
    <xf numFmtId="0" fontId="26" fillId="5" borderId="0" xfId="0" applyFont="1" applyFill="1" applyAlignment="1">
      <alignment horizontal="left" vertical="top"/>
    </xf>
    <xf numFmtId="0" fontId="26" fillId="5" borderId="0" xfId="0" applyFont="1" applyFill="1" applyAlignment="1">
      <alignment horizontal="center" vertical="top"/>
    </xf>
    <xf numFmtId="0" fontId="0" fillId="5" borderId="16" xfId="0" applyFill="1" applyBorder="1" applyAlignment="1">
      <alignment horizontal="left" vertical="top" wrapText="1"/>
    </xf>
    <xf numFmtId="0" fontId="14" fillId="5" borderId="4" xfId="0" applyFont="1" applyFill="1" applyBorder="1" applyAlignment="1">
      <alignment horizontal="center" vertical="top" wrapText="1"/>
    </xf>
    <xf numFmtId="0" fontId="14" fillId="5" borderId="4" xfId="0" applyFont="1" applyFill="1" applyBorder="1" applyAlignment="1">
      <alignment horizontal="left" vertical="top" wrapText="1"/>
    </xf>
    <xf numFmtId="0" fontId="14" fillId="5" borderId="5" xfId="0" applyFont="1" applyFill="1" applyBorder="1" applyAlignment="1">
      <alignment horizontal="center"/>
    </xf>
    <xf numFmtId="0" fontId="14" fillId="5" borderId="6" xfId="0" applyFont="1" applyFill="1" applyBorder="1" applyAlignment="1">
      <alignment horizontal="center"/>
    </xf>
    <xf numFmtId="0" fontId="14" fillId="5" borderId="7" xfId="0" applyFont="1" applyFill="1" applyBorder="1" applyAlignment="1">
      <alignment horizontal="center"/>
    </xf>
    <xf numFmtId="0" fontId="0" fillId="11" borderId="0" xfId="0" applyFill="1" applyAlignment="1">
      <alignment vertical="top" wrapText="1"/>
    </xf>
    <xf numFmtId="0" fontId="14" fillId="5" borderId="4" xfId="0" applyFont="1" applyFill="1" applyBorder="1" applyAlignment="1">
      <alignment horizontal="center" vertical="center"/>
    </xf>
    <xf numFmtId="0" fontId="6" fillId="5" borderId="4" xfId="0" applyFont="1" applyFill="1" applyBorder="1" applyAlignment="1">
      <alignment horizontal="center" vertical="center"/>
    </xf>
    <xf numFmtId="49" fontId="8" fillId="5" borderId="15" xfId="0" applyNumberFormat="1" applyFont="1" applyFill="1" applyBorder="1" applyAlignment="1">
      <alignment horizontal="right"/>
    </xf>
    <xf numFmtId="0" fontId="23" fillId="5" borderId="15" xfId="0" applyFont="1" applyFill="1" applyBorder="1" applyAlignment="1">
      <alignment vertical="top" wrapText="1"/>
    </xf>
    <xf numFmtId="49" fontId="8" fillId="5" borderId="16" xfId="0" applyNumberFormat="1" applyFont="1" applyFill="1" applyBorder="1" applyAlignment="1">
      <alignment horizontal="right"/>
    </xf>
    <xf numFmtId="0" fontId="8" fillId="5" borderId="16" xfId="0" applyFont="1" applyFill="1" applyBorder="1" applyAlignment="1">
      <alignment vertical="top" wrapText="1"/>
    </xf>
    <xf numFmtId="49" fontId="8" fillId="5" borderId="17" xfId="0" applyNumberFormat="1" applyFont="1" applyFill="1" applyBorder="1" applyAlignment="1">
      <alignment horizontal="right"/>
    </xf>
    <xf numFmtId="0" fontId="8" fillId="5" borderId="17" xfId="0" applyFont="1" applyFill="1" applyBorder="1" applyAlignment="1">
      <alignment vertical="top" wrapText="1"/>
    </xf>
    <xf numFmtId="0" fontId="8" fillId="5" borderId="15" xfId="0" applyFont="1" applyFill="1" applyBorder="1" applyAlignment="1">
      <alignment horizontal="right"/>
    </xf>
    <xf numFmtId="0" fontId="8" fillId="5" borderId="16" xfId="0" applyFont="1" applyFill="1" applyBorder="1" applyAlignment="1">
      <alignment horizontal="right"/>
    </xf>
    <xf numFmtId="0" fontId="8" fillId="5" borderId="17" xfId="0" applyFont="1" applyFill="1" applyBorder="1" applyAlignment="1">
      <alignment horizontal="right"/>
    </xf>
    <xf numFmtId="0" fontId="8" fillId="5" borderId="11" xfId="0" applyFont="1" applyFill="1" applyBorder="1" applyAlignment="1">
      <alignment horizontal="right"/>
    </xf>
    <xf numFmtId="0" fontId="8" fillId="5" borderId="13" xfId="0" applyFont="1" applyFill="1" applyBorder="1" applyAlignment="1">
      <alignment horizontal="right"/>
    </xf>
    <xf numFmtId="1" fontId="8" fillId="5" borderId="11" xfId="0" applyNumberFormat="1" applyFont="1" applyFill="1" applyBorder="1" applyAlignment="1">
      <alignment horizontal="right"/>
    </xf>
    <xf numFmtId="0" fontId="8" fillId="5" borderId="4" xfId="0" applyFont="1" applyFill="1" applyBorder="1" applyAlignment="1">
      <alignment horizontal="right"/>
    </xf>
    <xf numFmtId="0" fontId="23" fillId="5" borderId="15" xfId="0" applyFont="1" applyFill="1" applyBorder="1" applyAlignment="1">
      <alignment horizontal="right"/>
    </xf>
    <xf numFmtId="49" fontId="23" fillId="5" borderId="15" xfId="0" applyNumberFormat="1" applyFont="1" applyFill="1" applyBorder="1" applyAlignment="1">
      <alignment horizontal="right"/>
    </xf>
    <xf numFmtId="0" fontId="8" fillId="5" borderId="16" xfId="0" applyFont="1" applyFill="1" applyBorder="1"/>
    <xf numFmtId="0" fontId="0" fillId="11" borderId="0" xfId="0" applyFill="1" applyAlignment="1">
      <alignment vertical="center"/>
    </xf>
    <xf numFmtId="0" fontId="67" fillId="11" borderId="0" xfId="0" applyFont="1" applyFill="1"/>
    <xf numFmtId="0" fontId="14" fillId="11" borderId="0" xfId="0" applyFont="1" applyFill="1"/>
    <xf numFmtId="0" fontId="14" fillId="11" borderId="0" xfId="0" applyFont="1" applyFill="1" applyAlignment="1">
      <alignment horizontal="left"/>
    </xf>
    <xf numFmtId="0" fontId="0" fillId="11" borderId="0" xfId="0" applyFill="1" applyAlignment="1">
      <alignment horizontal="left"/>
    </xf>
    <xf numFmtId="0" fontId="14" fillId="11" borderId="0" xfId="0" applyFont="1" applyFill="1" applyAlignment="1">
      <alignment vertical="top" wrapText="1"/>
    </xf>
    <xf numFmtId="0" fontId="23" fillId="11" borderId="0" xfId="0" applyFont="1" applyFill="1" applyAlignment="1">
      <alignment vertical="top" wrapText="1"/>
    </xf>
    <xf numFmtId="0" fontId="8" fillId="11" borderId="0" xfId="0" applyFont="1" applyFill="1" applyAlignment="1">
      <alignment vertical="top" wrapText="1"/>
    </xf>
    <xf numFmtId="0" fontId="14" fillId="11" borderId="0" xfId="0" applyFont="1" applyFill="1" applyAlignment="1">
      <alignment horizontal="left" vertical="top" wrapText="1"/>
    </xf>
    <xf numFmtId="0" fontId="0" fillId="11" borderId="0" xfId="0" applyFill="1" applyAlignment="1">
      <alignment horizontal="left" vertical="top" wrapText="1"/>
    </xf>
    <xf numFmtId="0" fontId="8" fillId="5" borderId="16" xfId="0" applyFont="1" applyFill="1" applyBorder="1" applyAlignment="1">
      <alignment horizontal="left" vertical="top" wrapText="1"/>
    </xf>
    <xf numFmtId="0" fontId="8" fillId="5" borderId="17" xfId="0" applyFont="1" applyFill="1" applyBorder="1" applyAlignment="1">
      <alignment horizontal="left" vertical="top" wrapText="1"/>
    </xf>
    <xf numFmtId="2" fontId="20" fillId="11" borderId="0" xfId="2" applyNumberFormat="1" applyFont="1" applyFill="1" applyAlignment="1">
      <alignment horizontal="center"/>
    </xf>
    <xf numFmtId="0" fontId="0" fillId="11" borderId="0" xfId="0" applyFill="1" applyAlignment="1">
      <alignment horizontal="center"/>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8" fillId="5" borderId="15" xfId="0" applyFont="1" applyFill="1" applyBorder="1" applyAlignment="1">
      <alignment vertical="top" wrapText="1"/>
    </xf>
    <xf numFmtId="0" fontId="23" fillId="5" borderId="16" xfId="0" applyFont="1" applyFill="1" applyBorder="1" applyAlignment="1">
      <alignment vertical="top" wrapText="1"/>
    </xf>
    <xf numFmtId="0" fontId="8" fillId="5" borderId="12" xfId="0" applyFont="1" applyFill="1" applyBorder="1" applyAlignment="1">
      <alignment horizontal="left" vertical="top" wrapText="1"/>
    </xf>
    <xf numFmtId="0" fontId="23" fillId="5" borderId="4" xfId="0" applyFont="1" applyFill="1" applyBorder="1" applyAlignment="1">
      <alignment horizontal="center" vertical="center"/>
    </xf>
    <xf numFmtId="0" fontId="23" fillId="5" borderId="4" xfId="0" applyFont="1" applyFill="1" applyBorder="1" applyAlignment="1">
      <alignment vertical="top" wrapText="1"/>
    </xf>
    <xf numFmtId="0" fontId="23" fillId="5" borderId="4" xfId="0" applyFont="1" applyFill="1" applyBorder="1" applyAlignment="1">
      <alignment horizontal="right"/>
    </xf>
    <xf numFmtId="49" fontId="23" fillId="5" borderId="8" xfId="0" applyNumberFormat="1" applyFont="1" applyFill="1" applyBorder="1" applyAlignment="1">
      <alignment horizontal="right"/>
    </xf>
    <xf numFmtId="0" fontId="23" fillId="5" borderId="15" xfId="0" applyFont="1" applyFill="1" applyBorder="1" applyAlignment="1">
      <alignment horizontal="left" vertical="top" wrapText="1"/>
    </xf>
    <xf numFmtId="49" fontId="8" fillId="5" borderId="11" xfId="0" applyNumberFormat="1" applyFont="1" applyFill="1" applyBorder="1" applyAlignment="1">
      <alignment horizontal="right"/>
    </xf>
    <xf numFmtId="49" fontId="8" fillId="5" borderId="13" xfId="0" applyNumberFormat="1" applyFont="1" applyFill="1" applyBorder="1" applyAlignment="1">
      <alignment horizontal="right"/>
    </xf>
    <xf numFmtId="49" fontId="8" fillId="5" borderId="11" xfId="0" applyNumberFormat="1" applyFont="1" applyFill="1" applyBorder="1" applyAlignment="1">
      <alignment horizontal="left"/>
    </xf>
    <xf numFmtId="49" fontId="8" fillId="5" borderId="13" xfId="0" applyNumberFormat="1" applyFont="1" applyFill="1" applyBorder="1" applyAlignment="1">
      <alignment horizontal="left"/>
    </xf>
    <xf numFmtId="0" fontId="23" fillId="5" borderId="16" xfId="0" applyFont="1" applyFill="1" applyBorder="1" applyAlignment="1">
      <alignment horizontal="right"/>
    </xf>
    <xf numFmtId="49" fontId="23" fillId="5" borderId="16" xfId="0" applyNumberFormat="1" applyFont="1" applyFill="1" applyBorder="1" applyAlignment="1">
      <alignment horizontal="right"/>
    </xf>
    <xf numFmtId="0" fontId="23" fillId="5" borderId="5" xfId="0" applyFont="1" applyFill="1" applyBorder="1" applyAlignment="1">
      <alignment horizontal="right"/>
    </xf>
    <xf numFmtId="0" fontId="8" fillId="5" borderId="12" xfId="0" applyFont="1" applyFill="1" applyBorder="1"/>
    <xf numFmtId="0" fontId="8" fillId="5" borderId="15" xfId="0" applyFont="1" applyFill="1" applyBorder="1" applyAlignment="1">
      <alignment horizontal="left" vertical="top" wrapText="1"/>
    </xf>
    <xf numFmtId="0" fontId="8" fillId="5" borderId="15" xfId="0" applyFont="1" applyFill="1" applyBorder="1"/>
    <xf numFmtId="0" fontId="8" fillId="5" borderId="17" xfId="0" applyFont="1" applyFill="1" applyBorder="1"/>
    <xf numFmtId="0" fontId="8" fillId="5" borderId="16" xfId="0" quotePrefix="1" applyFont="1" applyFill="1" applyBorder="1" applyAlignment="1">
      <alignment vertical="top" wrapText="1"/>
    </xf>
    <xf numFmtId="49" fontId="8" fillId="5" borderId="16" xfId="0" applyNumberFormat="1" applyFont="1" applyFill="1" applyBorder="1" applyAlignment="1">
      <alignment vertical="top" wrapText="1"/>
    </xf>
    <xf numFmtId="49" fontId="8" fillId="5" borderId="17" xfId="0" applyNumberFormat="1" applyFont="1" applyFill="1" applyBorder="1" applyAlignment="1">
      <alignment vertical="top" wrapText="1"/>
    </xf>
    <xf numFmtId="0" fontId="0" fillId="5" borderId="16" xfId="0" applyFill="1" applyBorder="1"/>
    <xf numFmtId="0" fontId="23" fillId="5" borderId="17" xfId="0" applyFont="1" applyFill="1" applyBorder="1" applyAlignment="1">
      <alignment horizontal="right"/>
    </xf>
    <xf numFmtId="0" fontId="14" fillId="11" borderId="0" xfId="0" applyFont="1" applyFill="1" applyAlignment="1">
      <alignment horizontal="center"/>
    </xf>
    <xf numFmtId="10" fontId="14" fillId="11" borderId="0" xfId="0" applyNumberFormat="1" applyFont="1" applyFill="1" applyAlignment="1">
      <alignment horizontal="center" wrapText="1"/>
    </xf>
    <xf numFmtId="0" fontId="14" fillId="11" borderId="0" xfId="0" applyFont="1" applyFill="1" applyAlignment="1">
      <alignment wrapText="1"/>
    </xf>
    <xf numFmtId="10" fontId="14" fillId="11" borderId="0" xfId="0" applyNumberFormat="1" applyFont="1" applyFill="1" applyAlignment="1">
      <alignment horizontal="left" wrapText="1"/>
    </xf>
    <xf numFmtId="0" fontId="14" fillId="11" borderId="0" xfId="0" applyFont="1" applyFill="1" applyAlignment="1">
      <alignment horizontal="left" wrapText="1"/>
    </xf>
    <xf numFmtId="10" fontId="0" fillId="11" borderId="0" xfId="0" applyNumberFormat="1" applyFill="1" applyAlignment="1">
      <alignment horizontal="left" wrapText="1"/>
    </xf>
    <xf numFmtId="0" fontId="0" fillId="11" borderId="0" xfId="0" applyFill="1" applyAlignment="1">
      <alignment horizontal="left" wrapText="1"/>
    </xf>
    <xf numFmtId="0" fontId="23" fillId="11" borderId="0" xfId="0" applyFont="1" applyFill="1" applyProtection="1">
      <protection locked="0"/>
    </xf>
    <xf numFmtId="0" fontId="8" fillId="11" borderId="0" xfId="0" applyFont="1" applyFill="1" applyProtection="1">
      <protection locked="0"/>
    </xf>
    <xf numFmtId="0" fontId="22" fillId="11" borderId="0" xfId="0" applyFont="1" applyFill="1"/>
    <xf numFmtId="0" fontId="8" fillId="11" borderId="0" xfId="0" applyFont="1" applyFill="1" applyAlignment="1">
      <alignment vertical="center"/>
    </xf>
    <xf numFmtId="0" fontId="14" fillId="5" borderId="5" xfId="0" applyFont="1" applyFill="1" applyBorder="1" applyAlignment="1">
      <alignment horizontal="center" vertical="top" wrapText="1"/>
    </xf>
    <xf numFmtId="0" fontId="8" fillId="11" borderId="0" xfId="0" applyFont="1" applyFill="1" applyAlignment="1">
      <alignment horizontal="left" vertical="top" wrapText="1"/>
    </xf>
    <xf numFmtId="0" fontId="23" fillId="11" borderId="0" xfId="0" applyFont="1" applyFill="1" applyAlignment="1">
      <alignment horizontal="left" vertical="top" wrapText="1"/>
    </xf>
    <xf numFmtId="0" fontId="8" fillId="11" borderId="0" xfId="0" applyFont="1" applyFill="1" applyAlignment="1" applyProtection="1">
      <alignment horizontal="left" vertical="top" wrapText="1"/>
      <protection locked="0"/>
    </xf>
    <xf numFmtId="0" fontId="23" fillId="11" borderId="0" xfId="0" applyFont="1" applyFill="1" applyAlignment="1" applyProtection="1">
      <alignment vertical="top" wrapText="1"/>
      <protection locked="0"/>
    </xf>
    <xf numFmtId="10" fontId="8" fillId="11" borderId="0" xfId="0" applyNumberFormat="1" applyFont="1" applyFill="1" applyAlignment="1">
      <alignment horizontal="left" vertical="top" wrapText="1"/>
    </xf>
    <xf numFmtId="0" fontId="83" fillId="11" borderId="0" xfId="0" applyFont="1" applyFill="1" applyAlignment="1">
      <alignment vertical="top" wrapText="1"/>
    </xf>
    <xf numFmtId="49" fontId="8" fillId="11" borderId="0" xfId="0" applyNumberFormat="1" applyFont="1" applyFill="1" applyAlignment="1">
      <alignment vertical="top" wrapText="1"/>
    </xf>
    <xf numFmtId="0" fontId="52" fillId="11" borderId="0" xfId="0" applyFont="1" applyFill="1" applyAlignment="1">
      <alignment horizontal="left" vertical="top" wrapText="1"/>
    </xf>
    <xf numFmtId="0" fontId="0" fillId="5" borderId="11" xfId="0" applyFill="1" applyBorder="1" applyAlignment="1">
      <alignment vertical="top" wrapText="1"/>
    </xf>
    <xf numFmtId="0" fontId="67" fillId="5" borderId="28" xfId="0" applyFont="1" applyFill="1" applyBorder="1" applyAlignment="1">
      <alignment horizontal="left" vertical="top" wrapText="1"/>
    </xf>
    <xf numFmtId="0" fontId="67" fillId="5" borderId="46" xfId="0" applyFont="1" applyFill="1" applyBorder="1" applyAlignment="1">
      <alignment horizontal="left" vertical="top" wrapText="1"/>
    </xf>
    <xf numFmtId="0" fontId="67" fillId="5" borderId="12" xfId="0" applyFont="1" applyFill="1" applyBorder="1" applyAlignment="1">
      <alignment horizontal="left" vertical="top" wrapText="1"/>
    </xf>
    <xf numFmtId="0" fontId="8" fillId="5" borderId="46" xfId="0" applyFont="1" applyFill="1" applyBorder="1" applyAlignment="1">
      <alignment horizontal="left" vertical="top" wrapText="1"/>
    </xf>
    <xf numFmtId="0" fontId="8" fillId="5" borderId="12" xfId="0" applyFont="1" applyFill="1" applyBorder="1" applyAlignment="1">
      <alignment vertical="center"/>
    </xf>
    <xf numFmtId="0" fontId="8" fillId="5" borderId="12" xfId="0" applyFont="1" applyFill="1" applyBorder="1" applyAlignment="1">
      <alignment wrapText="1"/>
    </xf>
    <xf numFmtId="0" fontId="8" fillId="5" borderId="14" xfId="0" applyFont="1" applyFill="1" applyBorder="1"/>
    <xf numFmtId="0" fontId="23" fillId="5" borderId="10" xfId="0" applyFont="1" applyFill="1" applyBorder="1"/>
    <xf numFmtId="49" fontId="23" fillId="5" borderId="4" xfId="0" applyNumberFormat="1" applyFont="1" applyFill="1" applyBorder="1" applyAlignment="1">
      <alignment horizontal="center"/>
    </xf>
    <xf numFmtId="49" fontId="0" fillId="5" borderId="15" xfId="0" applyNumberFormat="1" applyFill="1" applyBorder="1" applyAlignment="1">
      <alignment wrapText="1"/>
    </xf>
    <xf numFmtId="49" fontId="0" fillId="5" borderId="16" xfId="0" applyNumberFormat="1" applyFill="1" applyBorder="1" applyAlignment="1">
      <alignment wrapText="1"/>
    </xf>
    <xf numFmtId="49" fontId="0" fillId="5" borderId="17" xfId="0" applyNumberFormat="1" applyFill="1" applyBorder="1" applyAlignment="1">
      <alignment wrapText="1"/>
    </xf>
    <xf numFmtId="0" fontId="0" fillId="5" borderId="15" xfId="0" applyFill="1" applyBorder="1" applyAlignment="1">
      <alignment horizontal="left" wrapText="1"/>
    </xf>
    <xf numFmtId="0" fontId="0" fillId="5" borderId="16" xfId="0" applyFill="1" applyBorder="1" applyAlignment="1">
      <alignment horizontal="left" wrapText="1"/>
    </xf>
    <xf numFmtId="2" fontId="20" fillId="5" borderId="16" xfId="2" applyNumberFormat="1" applyFont="1" applyFill="1" applyBorder="1" applyAlignment="1">
      <alignment horizontal="left" wrapText="1"/>
    </xf>
    <xf numFmtId="0" fontId="0" fillId="5" borderId="17" xfId="0" applyFill="1" applyBorder="1" applyAlignment="1">
      <alignment horizontal="left" wrapText="1"/>
    </xf>
    <xf numFmtId="49" fontId="0" fillId="5" borderId="16" xfId="0" applyNumberFormat="1" applyFill="1" applyBorder="1" applyAlignment="1">
      <alignment horizontal="left" wrapText="1"/>
    </xf>
    <xf numFmtId="10" fontId="0" fillId="5" borderId="16" xfId="0" applyNumberFormat="1" applyFill="1" applyBorder="1" applyAlignment="1">
      <alignment horizontal="left" wrapText="1"/>
    </xf>
    <xf numFmtId="10" fontId="0" fillId="5" borderId="17" xfId="0" applyNumberFormat="1" applyFill="1" applyBorder="1" applyAlignment="1">
      <alignment horizontal="left" wrapText="1"/>
    </xf>
    <xf numFmtId="0" fontId="0" fillId="12" borderId="15" xfId="0" applyFill="1" applyBorder="1" applyAlignment="1">
      <alignment horizontal="left" wrapText="1"/>
    </xf>
    <xf numFmtId="0" fontId="0" fillId="12" borderId="17" xfId="0" applyFill="1" applyBorder="1" applyAlignment="1">
      <alignment horizontal="left" wrapText="1"/>
    </xf>
    <xf numFmtId="0" fontId="0" fillId="11" borderId="0" xfId="0" applyFill="1" applyAlignment="1">
      <alignment vertical="center" wrapText="1"/>
    </xf>
    <xf numFmtId="0" fontId="14" fillId="5" borderId="15" xfId="0" applyFont="1" applyFill="1" applyBorder="1" applyAlignment="1">
      <alignment horizontal="center"/>
    </xf>
    <xf numFmtId="0" fontId="14" fillId="5" borderId="4" xfId="0" applyFont="1" applyFill="1" applyBorder="1" applyAlignment="1">
      <alignment horizontal="left" wrapText="1"/>
    </xf>
    <xf numFmtId="0" fontId="23" fillId="5" borderId="4" xfId="0" applyFont="1" applyFill="1" applyBorder="1" applyAlignment="1">
      <alignment horizontal="left"/>
    </xf>
    <xf numFmtId="0" fontId="8" fillId="11" borderId="0" xfId="0" applyFont="1" applyFill="1"/>
    <xf numFmtId="2" fontId="20" fillId="11" borderId="0" xfId="2" applyNumberFormat="1" applyFont="1" applyFill="1" applyBorder="1" applyAlignment="1">
      <alignment horizontal="center"/>
    </xf>
    <xf numFmtId="2" fontId="20" fillId="5" borderId="0" xfId="2" applyNumberFormat="1" applyFont="1" applyFill="1" applyBorder="1" applyAlignment="1">
      <alignment horizontal="center" wrapText="1"/>
    </xf>
    <xf numFmtId="10" fontId="0" fillId="13" borderId="0" xfId="0" applyNumberFormat="1" applyFill="1" applyAlignment="1">
      <alignment horizontal="left" wrapText="1"/>
    </xf>
    <xf numFmtId="0" fontId="36" fillId="5" borderId="0" xfId="0" applyFont="1" applyFill="1" applyAlignment="1">
      <alignment horizontal="left"/>
    </xf>
    <xf numFmtId="10" fontId="36" fillId="5" borderId="0" xfId="0" applyNumberFormat="1" applyFont="1" applyFill="1" applyAlignment="1">
      <alignment horizontal="left" wrapText="1"/>
    </xf>
    <xf numFmtId="0" fontId="23" fillId="5" borderId="5" xfId="0" applyFont="1" applyFill="1" applyBorder="1" applyAlignment="1">
      <alignment horizontal="center"/>
    </xf>
    <xf numFmtId="2" fontId="14" fillId="5" borderId="5" xfId="2" applyNumberFormat="1" applyFont="1" applyFill="1" applyBorder="1" applyAlignment="1">
      <alignment horizontal="center"/>
    </xf>
    <xf numFmtId="2" fontId="14" fillId="5" borderId="6" xfId="2" applyNumberFormat="1" applyFont="1" applyFill="1" applyBorder="1" applyAlignment="1">
      <alignment horizontal="center"/>
    </xf>
    <xf numFmtId="10" fontId="14" fillId="5" borderId="5" xfId="0" applyNumberFormat="1" applyFont="1" applyFill="1" applyBorder="1" applyAlignment="1">
      <alignment horizontal="center" wrapText="1"/>
    </xf>
    <xf numFmtId="10" fontId="14" fillId="5" borderId="6" xfId="0" applyNumberFormat="1" applyFont="1" applyFill="1" applyBorder="1" applyAlignment="1">
      <alignment horizontal="center" wrapText="1"/>
    </xf>
    <xf numFmtId="2" fontId="20" fillId="5" borderId="1" xfId="2" applyNumberFormat="1" applyFont="1" applyFill="1" applyBorder="1" applyAlignment="1">
      <alignment horizontal="center"/>
    </xf>
    <xf numFmtId="10" fontId="0" fillId="13" borderId="9" xfId="0" applyNumberFormat="1" applyFill="1" applyBorder="1" applyAlignment="1">
      <alignment horizontal="left" wrapText="1"/>
    </xf>
    <xf numFmtId="10" fontId="0" fillId="13" borderId="1" xfId="0" applyNumberFormat="1" applyFill="1" applyBorder="1" applyAlignment="1">
      <alignment horizontal="left" wrapText="1"/>
    </xf>
    <xf numFmtId="49" fontId="20" fillId="5" borderId="11" xfId="2" applyNumberFormat="1" applyFont="1" applyFill="1" applyBorder="1" applyAlignment="1">
      <alignment horizontal="left" wrapText="1"/>
    </xf>
    <xf numFmtId="0" fontId="0" fillId="5" borderId="11" xfId="0" applyFill="1" applyBorder="1" applyAlignment="1">
      <alignment horizontal="left"/>
    </xf>
    <xf numFmtId="49" fontId="20" fillId="5" borderId="13" xfId="2" applyNumberFormat="1" applyFont="1" applyFill="1" applyBorder="1" applyAlignment="1">
      <alignment horizontal="left" wrapText="1"/>
    </xf>
    <xf numFmtId="0" fontId="0" fillId="5" borderId="1" xfId="0" applyFill="1" applyBorder="1" applyAlignment="1">
      <alignment horizontal="center" wrapText="1"/>
    </xf>
    <xf numFmtId="2" fontId="20" fillId="5" borderId="1" xfId="2" applyNumberFormat="1" applyFont="1" applyFill="1" applyBorder="1" applyAlignment="1">
      <alignment horizontal="center" wrapText="1"/>
    </xf>
    <xf numFmtId="49" fontId="8" fillId="11" borderId="0" xfId="0" applyNumberFormat="1" applyFont="1" applyFill="1" applyAlignment="1">
      <alignment horizontal="left"/>
    </xf>
    <xf numFmtId="0" fontId="0" fillId="5" borderId="15" xfId="0" applyFill="1" applyBorder="1" applyAlignment="1">
      <alignment horizontal="left" vertical="top" wrapText="1"/>
    </xf>
    <xf numFmtId="0" fontId="14" fillId="5" borderId="15" xfId="0" applyFont="1" applyFill="1" applyBorder="1" applyAlignment="1">
      <alignment horizontal="left" vertical="top" wrapText="1"/>
    </xf>
    <xf numFmtId="49" fontId="23" fillId="5" borderId="15" xfId="0" applyNumberFormat="1" applyFont="1" applyFill="1" applyBorder="1" applyAlignment="1">
      <alignment horizontal="right" vertical="center"/>
    </xf>
    <xf numFmtId="49" fontId="23" fillId="5" borderId="16" xfId="0" applyNumberFormat="1" applyFont="1" applyFill="1" applyBorder="1" applyAlignment="1">
      <alignment horizontal="right" vertical="center"/>
    </xf>
    <xf numFmtId="49" fontId="23" fillId="5" borderId="17" xfId="0" applyNumberFormat="1" applyFont="1" applyFill="1" applyBorder="1" applyAlignment="1">
      <alignment horizontal="right" vertical="center"/>
    </xf>
    <xf numFmtId="0" fontId="0" fillId="5" borderId="27" xfId="0" applyFill="1" applyBorder="1" applyAlignment="1">
      <alignment horizontal="left" vertical="top" wrapText="1"/>
    </xf>
    <xf numFmtId="0" fontId="0" fillId="5" borderId="45" xfId="0" applyFill="1" applyBorder="1" applyAlignment="1">
      <alignment horizontal="left" vertical="top" wrapText="1"/>
    </xf>
    <xf numFmtId="0" fontId="0" fillId="5" borderId="12" xfId="0" applyFill="1" applyBorder="1" applyAlignment="1">
      <alignment horizontal="left" vertical="top" wrapText="1"/>
    </xf>
    <xf numFmtId="0" fontId="0" fillId="5" borderId="28" xfId="0" applyFill="1" applyBorder="1" applyAlignment="1">
      <alignment horizontal="left" vertical="top" wrapText="1"/>
    </xf>
    <xf numFmtId="0" fontId="0" fillId="5" borderId="46" xfId="0" applyFill="1" applyBorder="1" applyAlignment="1">
      <alignment horizontal="left" vertical="top" wrapText="1"/>
    </xf>
    <xf numFmtId="0" fontId="0" fillId="5" borderId="10" xfId="0" applyFill="1" applyBorder="1" applyAlignment="1">
      <alignment horizontal="left" vertical="top" wrapText="1"/>
    </xf>
    <xf numFmtId="0" fontId="0" fillId="5" borderId="29" xfId="0" applyFill="1" applyBorder="1" applyAlignment="1">
      <alignment horizontal="left" vertical="top" wrapText="1"/>
    </xf>
    <xf numFmtId="0" fontId="0" fillId="5" borderId="47" xfId="0" applyFill="1" applyBorder="1" applyAlignment="1">
      <alignment horizontal="left" vertical="top" wrapText="1"/>
    </xf>
    <xf numFmtId="0" fontId="0" fillId="5" borderId="14" xfId="0" applyFill="1" applyBorder="1" applyAlignment="1">
      <alignment horizontal="left" vertical="top" wrapText="1"/>
    </xf>
    <xf numFmtId="0" fontId="0" fillId="5" borderId="12" xfId="0" applyFill="1" applyBorder="1" applyAlignment="1">
      <alignment wrapText="1"/>
    </xf>
    <xf numFmtId="0" fontId="0" fillId="5" borderId="14" xfId="0" applyFill="1" applyBorder="1" applyAlignment="1">
      <alignment wrapText="1"/>
    </xf>
    <xf numFmtId="0" fontId="0" fillId="5" borderId="7" xfId="0" applyFill="1" applyBorder="1" applyAlignment="1">
      <alignment horizontal="left" vertical="top" wrapText="1"/>
    </xf>
    <xf numFmtId="0" fontId="0" fillId="5" borderId="4" xfId="0" applyFill="1" applyBorder="1" applyAlignment="1">
      <alignment horizontal="left" vertical="top" wrapText="1"/>
    </xf>
    <xf numFmtId="0" fontId="0" fillId="5" borderId="8" xfId="0" applyFill="1" applyBorder="1" applyAlignment="1">
      <alignment wrapText="1"/>
    </xf>
    <xf numFmtId="0" fontId="0" fillId="0" borderId="9" xfId="0" applyBorder="1" applyAlignment="1">
      <alignment wrapText="1"/>
    </xf>
    <xf numFmtId="0" fontId="0" fillId="5" borderId="9" xfId="0" applyFill="1" applyBorder="1" applyAlignment="1">
      <alignment wrapText="1"/>
    </xf>
    <xf numFmtId="0" fontId="0" fillId="5" borderId="16" xfId="0" applyFill="1" applyBorder="1" applyAlignment="1">
      <alignment horizontal="center" vertical="center"/>
    </xf>
    <xf numFmtId="0" fontId="0" fillId="5" borderId="11" xfId="0" applyFill="1" applyBorder="1" applyAlignment="1">
      <alignment wrapText="1"/>
    </xf>
    <xf numFmtId="0" fontId="0" fillId="0" borderId="0" xfId="0" applyAlignment="1">
      <alignment wrapText="1"/>
    </xf>
    <xf numFmtId="0" fontId="0" fillId="5" borderId="17" xfId="0" applyFill="1" applyBorder="1" applyAlignment="1">
      <alignment horizontal="right"/>
    </xf>
    <xf numFmtId="0" fontId="0" fillId="5" borderId="8" xfId="0" applyFill="1" applyBorder="1"/>
    <xf numFmtId="0" fontId="0" fillId="5" borderId="10" xfId="0" applyFill="1" applyBorder="1"/>
    <xf numFmtId="0" fontId="0" fillId="5" borderId="11" xfId="0" applyFill="1" applyBorder="1"/>
    <xf numFmtId="0" fontId="0" fillId="5" borderId="13" xfId="0" applyFill="1" applyBorder="1"/>
    <xf numFmtId="0" fontId="0" fillId="5" borderId="14" xfId="0" applyFill="1" applyBorder="1"/>
    <xf numFmtId="0" fontId="0" fillId="5" borderId="9" xfId="0" applyFill="1" applyBorder="1"/>
    <xf numFmtId="0" fontId="0" fillId="5" borderId="1" xfId="0" applyFill="1" applyBorder="1" applyAlignment="1">
      <alignment wrapText="1"/>
    </xf>
    <xf numFmtId="0" fontId="0" fillId="5" borderId="1" xfId="0" applyFill="1" applyBorder="1"/>
    <xf numFmtId="0" fontId="0" fillId="5" borderId="15" xfId="0" applyFill="1" applyBorder="1" applyAlignment="1">
      <alignment horizontal="right"/>
    </xf>
    <xf numFmtId="0" fontId="0" fillId="5" borderId="16" xfId="0" applyFill="1" applyBorder="1" applyAlignment="1">
      <alignment horizontal="right"/>
    </xf>
    <xf numFmtId="0" fontId="0" fillId="0" borderId="0" xfId="0" applyAlignment="1">
      <alignment vertical="top" wrapText="1"/>
    </xf>
    <xf numFmtId="49" fontId="23" fillId="5" borderId="15" xfId="0" applyNumberFormat="1" applyFont="1" applyFill="1" applyBorder="1" applyAlignment="1">
      <alignment vertical="top" wrapText="1"/>
    </xf>
    <xf numFmtId="0" fontId="70" fillId="5" borderId="21" xfId="0" applyFont="1" applyFill="1" applyBorder="1" applyAlignment="1">
      <alignment vertical="center"/>
    </xf>
    <xf numFmtId="0" fontId="4" fillId="5" borderId="21" xfId="0" applyFont="1" applyFill="1" applyBorder="1" applyAlignment="1">
      <alignment vertical="center"/>
    </xf>
    <xf numFmtId="0" fontId="7" fillId="5" borderId="0" xfId="0" applyFont="1" applyFill="1" applyAlignment="1">
      <alignment vertical="top" wrapText="1"/>
    </xf>
    <xf numFmtId="0" fontId="67" fillId="5" borderId="0" xfId="0" applyFont="1" applyFill="1" applyAlignment="1">
      <alignment vertical="top" wrapText="1"/>
    </xf>
    <xf numFmtId="0" fontId="6" fillId="5" borderId="0" xfId="0" applyFont="1" applyFill="1" applyAlignment="1">
      <alignment horizontal="center" vertical="top" wrapText="1"/>
    </xf>
    <xf numFmtId="0" fontId="0" fillId="0" borderId="0" xfId="0" applyProtection="1">
      <protection locked="0"/>
    </xf>
    <xf numFmtId="0" fontId="43" fillId="5" borderId="0" xfId="1" applyFont="1" applyFill="1" applyAlignment="1" applyProtection="1">
      <alignment horizontal="left" vertical="top" wrapText="1"/>
      <protection locked="0"/>
    </xf>
    <xf numFmtId="0" fontId="64" fillId="5" borderId="0" xfId="0" applyFont="1" applyFill="1" applyAlignment="1" applyProtection="1">
      <alignment horizontal="left" vertical="top" wrapText="1"/>
      <protection locked="0"/>
    </xf>
    <xf numFmtId="0" fontId="0" fillId="5" borderId="0" xfId="0" applyFill="1" applyAlignment="1">
      <alignment horizontal="right"/>
    </xf>
    <xf numFmtId="49" fontId="23" fillId="5" borderId="11" xfId="0" applyNumberFormat="1" applyFont="1" applyFill="1" applyBorder="1" applyAlignment="1">
      <alignment horizontal="right"/>
    </xf>
    <xf numFmtId="0" fontId="3" fillId="5" borderId="0" xfId="0" applyFont="1" applyFill="1" applyAlignment="1" applyProtection="1">
      <alignment wrapText="1"/>
      <protection locked="0"/>
    </xf>
    <xf numFmtId="0" fontId="8" fillId="5" borderId="8" xfId="0" applyFont="1" applyFill="1" applyBorder="1" applyAlignment="1">
      <alignment horizontal="right"/>
    </xf>
    <xf numFmtId="0" fontId="64" fillId="5" borderId="1" xfId="0" applyFont="1" applyFill="1" applyBorder="1" applyAlignment="1">
      <alignment horizontal="left" vertical="top"/>
    </xf>
    <xf numFmtId="0" fontId="0" fillId="5" borderId="0" xfId="0" applyFill="1" applyAlignment="1">
      <alignment horizontal="center" vertical="top" wrapText="1"/>
    </xf>
    <xf numFmtId="0" fontId="64" fillId="5" borderId="0" xfId="0" applyFont="1" applyFill="1" applyAlignment="1">
      <alignment horizontal="center" vertical="top"/>
    </xf>
    <xf numFmtId="0" fontId="0" fillId="5" borderId="1" xfId="0" applyFill="1" applyBorder="1" applyAlignment="1">
      <alignment horizontal="left" wrapText="1"/>
    </xf>
    <xf numFmtId="0" fontId="43" fillId="5" borderId="0" xfId="1" applyFont="1" applyFill="1" applyAlignment="1" applyProtection="1">
      <alignment horizontal="left"/>
      <protection locked="0"/>
    </xf>
    <xf numFmtId="0" fontId="43" fillId="5" borderId="0" xfId="1" applyFont="1" applyFill="1" applyAlignment="1" applyProtection="1">
      <alignment horizontal="left" vertical="top"/>
      <protection locked="0"/>
    </xf>
    <xf numFmtId="0" fontId="30" fillId="5" borderId="0" xfId="0" applyFont="1" applyFill="1" applyAlignment="1" applyProtection="1">
      <alignment horizontal="center" vertical="top"/>
      <protection locked="0"/>
    </xf>
    <xf numFmtId="0" fontId="8" fillId="5" borderId="28" xfId="0" applyFont="1" applyFill="1" applyBorder="1" applyAlignment="1">
      <alignment horizontal="left" vertical="top" wrapText="1"/>
    </xf>
    <xf numFmtId="0" fontId="40" fillId="5" borderId="0" xfId="0" applyFont="1" applyFill="1"/>
    <xf numFmtId="0" fontId="3" fillId="5" borderId="0" xfId="0" applyFont="1" applyFill="1" applyAlignment="1">
      <alignment horizontal="center"/>
    </xf>
    <xf numFmtId="0" fontId="81" fillId="5" borderId="0" xfId="0" applyFont="1" applyFill="1" applyAlignment="1">
      <alignment vertical="center"/>
    </xf>
    <xf numFmtId="0" fontId="3" fillId="5" borderId="0" xfId="0" applyFont="1" applyFill="1" applyAlignment="1">
      <alignment wrapText="1"/>
    </xf>
    <xf numFmtId="0" fontId="0" fillId="5" borderId="52" xfId="0" applyFill="1" applyBorder="1" applyProtection="1">
      <protection locked="0"/>
    </xf>
    <xf numFmtId="0" fontId="30" fillId="5" borderId="0" xfId="0" applyFont="1" applyFill="1"/>
    <xf numFmtId="0" fontId="24" fillId="5" borderId="0" xfId="0" applyFont="1" applyFill="1"/>
    <xf numFmtId="14" fontId="18" fillId="5" borderId="0" xfId="0" applyNumberFormat="1" applyFont="1" applyFill="1" applyAlignment="1">
      <alignment vertical="top"/>
    </xf>
    <xf numFmtId="0" fontId="3" fillId="5" borderId="54" xfId="0" applyFont="1" applyFill="1" applyBorder="1" applyAlignment="1">
      <alignment horizontal="left"/>
    </xf>
    <xf numFmtId="10" fontId="0" fillId="5" borderId="0" xfId="0" applyNumberFormat="1" applyFill="1" applyAlignment="1">
      <alignment horizontal="left" vertical="top" wrapText="1"/>
    </xf>
    <xf numFmtId="0" fontId="17" fillId="5" borderId="0" xfId="0" applyFont="1" applyFill="1" applyAlignment="1">
      <alignment vertical="center"/>
    </xf>
    <xf numFmtId="0" fontId="17" fillId="5" borderId="0" xfId="0" applyFont="1" applyFill="1" applyAlignment="1">
      <alignment horizontal="right" vertical="center"/>
    </xf>
    <xf numFmtId="0" fontId="70" fillId="5" borderId="2" xfId="0" applyFont="1" applyFill="1" applyBorder="1" applyAlignment="1">
      <alignment horizontal="center" vertical="center"/>
    </xf>
    <xf numFmtId="0" fontId="1" fillId="5" borderId="0" xfId="0" applyFont="1" applyFill="1" applyAlignment="1">
      <alignment horizontal="center" vertical="center"/>
    </xf>
    <xf numFmtId="0" fontId="27" fillId="5" borderId="0" xfId="0" applyFont="1" applyFill="1" applyAlignment="1">
      <alignment horizontal="center"/>
    </xf>
    <xf numFmtId="0" fontId="3" fillId="9" borderId="23" xfId="0" applyFont="1" applyFill="1" applyBorder="1" applyAlignment="1">
      <alignment vertical="center"/>
    </xf>
    <xf numFmtId="0" fontId="5" fillId="9" borderId="2" xfId="0" applyFont="1" applyFill="1" applyBorder="1" applyAlignment="1">
      <alignment vertical="center"/>
    </xf>
    <xf numFmtId="0" fontId="3" fillId="8" borderId="2" xfId="0" applyFont="1" applyFill="1" applyBorder="1" applyAlignment="1">
      <alignment vertical="center"/>
    </xf>
    <xf numFmtId="0" fontId="1" fillId="11" borderId="22" xfId="0" applyFont="1" applyFill="1" applyBorder="1" applyAlignment="1">
      <alignment vertical="center"/>
    </xf>
    <xf numFmtId="0" fontId="1" fillId="11" borderId="25" xfId="0" applyFont="1" applyFill="1" applyBorder="1" applyAlignment="1">
      <alignment vertical="center"/>
    </xf>
    <xf numFmtId="0" fontId="23" fillId="6" borderId="4" xfId="0" applyFont="1" applyFill="1" applyBorder="1" applyAlignment="1">
      <alignment horizontal="center"/>
    </xf>
    <xf numFmtId="0" fontId="23" fillId="6" borderId="7" xfId="0" applyFont="1" applyFill="1" applyBorder="1" applyAlignment="1">
      <alignment horizontal="center" vertical="top" wrapText="1"/>
    </xf>
    <xf numFmtId="0" fontId="23" fillId="6" borderId="9" xfId="0" applyFont="1" applyFill="1" applyBorder="1" applyAlignment="1">
      <alignment horizontal="center"/>
    </xf>
    <xf numFmtId="0" fontId="8" fillId="6" borderId="15" xfId="0" applyFont="1" applyFill="1" applyBorder="1" applyAlignment="1">
      <alignment horizontal="right"/>
    </xf>
    <xf numFmtId="0" fontId="23" fillId="6" borderId="10" xfId="0" applyFont="1" applyFill="1" applyBorder="1" applyAlignment="1">
      <alignment vertical="top" wrapText="1"/>
    </xf>
    <xf numFmtId="0" fontId="23" fillId="6" borderId="15" xfId="0" applyFont="1" applyFill="1" applyBorder="1" applyAlignment="1">
      <alignment wrapText="1"/>
    </xf>
    <xf numFmtId="0" fontId="8" fillId="6" borderId="16" xfId="0" applyFont="1" applyFill="1" applyBorder="1" applyAlignment="1">
      <alignment horizontal="right"/>
    </xf>
    <xf numFmtId="0" fontId="8" fillId="6" borderId="12" xfId="0" applyFont="1" applyFill="1" applyBorder="1" applyAlignment="1">
      <alignment vertical="top" wrapText="1"/>
    </xf>
    <xf numFmtId="0" fontId="8" fillId="6" borderId="16" xfId="0" applyFont="1" applyFill="1" applyBorder="1" applyAlignment="1">
      <alignment wrapText="1"/>
    </xf>
    <xf numFmtId="0" fontId="0" fillId="6" borderId="28" xfId="0" applyFill="1" applyBorder="1" applyAlignment="1">
      <alignment horizontal="left" vertical="top" wrapText="1"/>
    </xf>
    <xf numFmtId="0" fontId="0" fillId="6" borderId="46" xfId="0" applyFill="1" applyBorder="1" applyAlignment="1">
      <alignment horizontal="left" vertical="top" wrapText="1"/>
    </xf>
    <xf numFmtId="0" fontId="0" fillId="6" borderId="12" xfId="0" applyFill="1" applyBorder="1" applyAlignment="1">
      <alignment horizontal="left" vertical="top" wrapText="1"/>
    </xf>
    <xf numFmtId="0" fontId="8" fillId="6" borderId="17" xfId="0" applyFont="1" applyFill="1" applyBorder="1" applyAlignment="1">
      <alignment horizontal="right"/>
    </xf>
    <xf numFmtId="0" fontId="23" fillId="6" borderId="15" xfId="0" applyFont="1" applyFill="1" applyBorder="1" applyAlignment="1">
      <alignment vertical="top" wrapText="1"/>
    </xf>
    <xf numFmtId="0" fontId="8" fillId="6" borderId="16" xfId="0" applyFont="1" applyFill="1" applyBorder="1" applyAlignment="1">
      <alignment vertical="top" wrapText="1"/>
    </xf>
    <xf numFmtId="0" fontId="8" fillId="6" borderId="16" xfId="0" applyFont="1" applyFill="1" applyBorder="1" applyAlignment="1">
      <alignment vertical="center"/>
    </xf>
    <xf numFmtId="0" fontId="23" fillId="6" borderId="15" xfId="0" applyFont="1" applyFill="1" applyBorder="1" applyAlignment="1">
      <alignment horizontal="right"/>
    </xf>
    <xf numFmtId="0" fontId="8" fillId="6" borderId="28" xfId="0" applyFont="1" applyFill="1" applyBorder="1" applyAlignment="1">
      <alignment vertical="top" wrapText="1"/>
    </xf>
    <xf numFmtId="0" fontId="8" fillId="6" borderId="31" xfId="0" applyFont="1" applyFill="1" applyBorder="1" applyAlignment="1">
      <alignment vertical="top" wrapText="1"/>
    </xf>
    <xf numFmtId="0" fontId="0" fillId="11" borderId="28" xfId="0" applyFill="1" applyBorder="1" applyAlignment="1">
      <alignment horizontal="left" vertical="top" wrapText="1"/>
    </xf>
    <xf numFmtId="0" fontId="0" fillId="11" borderId="46" xfId="0" applyFill="1" applyBorder="1" applyAlignment="1">
      <alignment horizontal="left" vertical="top" wrapText="1"/>
    </xf>
    <xf numFmtId="0" fontId="0" fillId="11" borderId="12" xfId="0" applyFill="1" applyBorder="1" applyAlignment="1">
      <alignment horizontal="left" vertical="top" wrapText="1"/>
    </xf>
    <xf numFmtId="2" fontId="20" fillId="6" borderId="9" xfId="2" applyNumberFormat="1" applyFont="1" applyFill="1" applyBorder="1" applyAlignment="1">
      <alignment horizontal="center" wrapText="1"/>
    </xf>
    <xf numFmtId="2" fontId="0" fillId="6" borderId="9" xfId="2" quotePrefix="1" applyNumberFormat="1" applyFont="1" applyFill="1" applyBorder="1" applyAlignment="1">
      <alignment horizontal="center" wrapText="1"/>
    </xf>
    <xf numFmtId="0" fontId="0" fillId="6" borderId="9" xfId="0" applyFill="1" applyBorder="1" applyAlignment="1">
      <alignment horizontal="center"/>
    </xf>
    <xf numFmtId="10" fontId="0" fillId="6" borderId="9" xfId="0" applyNumberFormat="1" applyFill="1" applyBorder="1" applyAlignment="1">
      <alignment horizontal="center"/>
    </xf>
    <xf numFmtId="10" fontId="0" fillId="6" borderId="9" xfId="0" applyNumberFormat="1" applyFill="1" applyBorder="1" applyAlignment="1">
      <alignment horizontal="center" wrapText="1"/>
    </xf>
    <xf numFmtId="2" fontId="20" fillId="6" borderId="0" xfId="2" applyNumberFormat="1" applyFont="1" applyFill="1" applyBorder="1" applyAlignment="1">
      <alignment horizontal="center"/>
    </xf>
    <xf numFmtId="2" fontId="0" fillId="6" borderId="0" xfId="2" quotePrefix="1" applyNumberFormat="1" applyFont="1" applyFill="1" applyBorder="1" applyAlignment="1">
      <alignment horizontal="center"/>
    </xf>
    <xf numFmtId="2" fontId="20" fillId="6" borderId="9" xfId="2" applyNumberFormat="1" applyFont="1" applyFill="1" applyBorder="1" applyAlignment="1">
      <alignment horizontal="center"/>
    </xf>
    <xf numFmtId="2" fontId="0" fillId="6" borderId="9" xfId="2" quotePrefix="1" applyNumberFormat="1" applyFont="1" applyFill="1" applyBorder="1" applyAlignment="1">
      <alignment horizontal="center"/>
    </xf>
    <xf numFmtId="0" fontId="8" fillId="8" borderId="16" xfId="0" applyFont="1" applyFill="1" applyBorder="1" applyAlignment="1">
      <alignment horizontal="right"/>
    </xf>
    <xf numFmtId="0" fontId="8" fillId="8" borderId="16" xfId="0" applyFont="1" applyFill="1" applyBorder="1" applyAlignment="1">
      <alignment vertical="top" wrapText="1"/>
    </xf>
    <xf numFmtId="0" fontId="8" fillId="8" borderId="16" xfId="0" applyFont="1" applyFill="1" applyBorder="1"/>
    <xf numFmtId="0" fontId="8" fillId="8" borderId="17" xfId="0" applyFont="1" applyFill="1" applyBorder="1" applyAlignment="1">
      <alignment horizontal="right"/>
    </xf>
    <xf numFmtId="0" fontId="8" fillId="8" borderId="17" xfId="0" applyFont="1" applyFill="1" applyBorder="1" applyAlignment="1">
      <alignment vertical="top" wrapText="1"/>
    </xf>
    <xf numFmtId="0" fontId="8" fillId="8" borderId="15" xfId="0" applyFont="1" applyFill="1" applyBorder="1" applyAlignment="1">
      <alignment horizontal="right"/>
    </xf>
    <xf numFmtId="0" fontId="23" fillId="8" borderId="15" xfId="0" applyFont="1" applyFill="1" applyBorder="1" applyAlignment="1">
      <alignment vertical="top" wrapText="1"/>
    </xf>
    <xf numFmtId="0" fontId="8" fillId="8" borderId="4" xfId="0" applyFont="1" applyFill="1" applyBorder="1" applyAlignment="1">
      <alignment horizontal="right"/>
    </xf>
    <xf numFmtId="0" fontId="23" fillId="8" borderId="4" xfId="0" applyFont="1" applyFill="1" applyBorder="1" applyAlignment="1">
      <alignment horizontal="center" vertical="top" wrapText="1"/>
    </xf>
    <xf numFmtId="49" fontId="8" fillId="8" borderId="16" xfId="0" applyNumberFormat="1" applyFont="1" applyFill="1" applyBorder="1" applyAlignment="1">
      <alignment horizontal="right"/>
    </xf>
    <xf numFmtId="49" fontId="8" fillId="8" borderId="15" xfId="0" applyNumberFormat="1" applyFont="1" applyFill="1" applyBorder="1" applyAlignment="1">
      <alignment horizontal="right"/>
    </xf>
    <xf numFmtId="0" fontId="23" fillId="8" borderId="4" xfId="0" applyFont="1" applyFill="1" applyBorder="1" applyAlignment="1">
      <alignment horizontal="center"/>
    </xf>
    <xf numFmtId="0" fontId="8" fillId="8" borderId="16" xfId="0" applyFont="1" applyFill="1" applyBorder="1" applyAlignment="1">
      <alignment wrapText="1"/>
    </xf>
    <xf numFmtId="0" fontId="0" fillId="8" borderId="28" xfId="0" applyFill="1" applyBorder="1" applyAlignment="1">
      <alignment horizontal="left" vertical="top" wrapText="1"/>
    </xf>
    <xf numFmtId="0" fontId="0" fillId="8" borderId="46" xfId="0" applyFill="1" applyBorder="1" applyAlignment="1">
      <alignment horizontal="left" vertical="top" wrapText="1"/>
    </xf>
    <xf numFmtId="0" fontId="0" fillId="8" borderId="12" xfId="0" applyFill="1" applyBorder="1" applyAlignment="1">
      <alignment horizontal="left" vertical="top" wrapText="1"/>
    </xf>
    <xf numFmtId="0" fontId="8" fillId="8" borderId="27" xfId="0" applyFont="1" applyFill="1" applyBorder="1"/>
    <xf numFmtId="0" fontId="8" fillId="8" borderId="30" xfId="0" applyFont="1" applyFill="1" applyBorder="1"/>
    <xf numFmtId="0" fontId="8" fillId="8" borderId="48" xfId="0" applyFont="1" applyFill="1" applyBorder="1"/>
    <xf numFmtId="0" fontId="8" fillId="8" borderId="28" xfId="0" applyFont="1" applyFill="1" applyBorder="1"/>
    <xf numFmtId="0" fontId="8" fillId="8" borderId="31" xfId="0" applyFont="1" applyFill="1" applyBorder="1"/>
    <xf numFmtId="0" fontId="8" fillId="8" borderId="49" xfId="0" applyFont="1" applyFill="1" applyBorder="1"/>
    <xf numFmtId="0" fontId="0" fillId="8" borderId="47" xfId="0" applyFill="1" applyBorder="1" applyAlignment="1">
      <alignment horizontal="left" vertical="top" wrapText="1"/>
    </xf>
    <xf numFmtId="0" fontId="23" fillId="8" borderId="15" xfId="0" applyFont="1" applyFill="1" applyBorder="1" applyAlignment="1">
      <alignment wrapText="1"/>
    </xf>
    <xf numFmtId="0" fontId="23" fillId="8" borderId="8" xfId="0" applyFont="1" applyFill="1" applyBorder="1" applyAlignment="1">
      <alignment wrapText="1"/>
    </xf>
    <xf numFmtId="0" fontId="8" fillId="8" borderId="29" xfId="0" applyFont="1" applyFill="1" applyBorder="1" applyAlignment="1">
      <alignment horizontal="left" wrapText="1"/>
    </xf>
    <xf numFmtId="0" fontId="8" fillId="8" borderId="32" xfId="0" applyFont="1" applyFill="1" applyBorder="1" applyAlignment="1">
      <alignment horizontal="left" wrapText="1"/>
    </xf>
    <xf numFmtId="0" fontId="8" fillId="8" borderId="14" xfId="0" applyFont="1" applyFill="1" applyBorder="1" applyAlignment="1">
      <alignment horizontal="left" wrapText="1"/>
    </xf>
    <xf numFmtId="0" fontId="0" fillId="8" borderId="11" xfId="0" applyFill="1" applyBorder="1" applyAlignment="1">
      <alignment horizontal="left"/>
    </xf>
    <xf numFmtId="0" fontId="0" fillId="8" borderId="0" xfId="0" applyFill="1" applyAlignment="1">
      <alignment horizontal="center"/>
    </xf>
    <xf numFmtId="10" fontId="0" fillId="8" borderId="0" xfId="0" applyNumberFormat="1" applyFill="1" applyAlignment="1">
      <alignment horizontal="center"/>
    </xf>
    <xf numFmtId="2" fontId="20" fillId="8" borderId="0" xfId="2" applyNumberFormat="1" applyFont="1" applyFill="1" applyBorder="1" applyAlignment="1">
      <alignment horizontal="center" wrapText="1"/>
    </xf>
    <xf numFmtId="2" fontId="0" fillId="8" borderId="0" xfId="2" quotePrefix="1" applyNumberFormat="1" applyFont="1" applyFill="1" applyBorder="1" applyAlignment="1">
      <alignment horizontal="center" wrapText="1"/>
    </xf>
    <xf numFmtId="0" fontId="23" fillId="9" borderId="4" xfId="0" applyFont="1" applyFill="1" applyBorder="1" applyAlignment="1">
      <alignment horizontal="center" vertical="top" wrapText="1"/>
    </xf>
    <xf numFmtId="0" fontId="23" fillId="9" borderId="4" xfId="0" applyFont="1" applyFill="1" applyBorder="1" applyAlignment="1">
      <alignment horizontal="center"/>
    </xf>
    <xf numFmtId="0" fontId="23" fillId="9" borderId="5" xfId="0" applyFont="1" applyFill="1" applyBorder="1" applyAlignment="1">
      <alignment horizontal="center" vertical="top" wrapText="1"/>
    </xf>
    <xf numFmtId="49" fontId="8" fillId="9" borderId="15" xfId="0" applyNumberFormat="1" applyFont="1" applyFill="1" applyBorder="1" applyAlignment="1">
      <alignment horizontal="right"/>
    </xf>
    <xf numFmtId="0" fontId="23" fillId="9" borderId="15" xfId="0" applyFont="1" applyFill="1" applyBorder="1" applyAlignment="1">
      <alignment vertical="top" wrapText="1"/>
    </xf>
    <xf numFmtId="0" fontId="23" fillId="9" borderId="8" xfId="0" applyFont="1" applyFill="1" applyBorder="1" applyAlignment="1">
      <alignment vertical="top" wrapText="1"/>
    </xf>
    <xf numFmtId="0" fontId="8" fillId="9" borderId="16" xfId="0" applyFont="1" applyFill="1" applyBorder="1" applyAlignment="1">
      <alignment vertical="top" wrapText="1"/>
    </xf>
    <xf numFmtId="0" fontId="8" fillId="9" borderId="11" xfId="0" applyFont="1" applyFill="1" applyBorder="1" applyAlignment="1">
      <alignment vertical="top" wrapText="1"/>
    </xf>
    <xf numFmtId="0" fontId="0" fillId="9" borderId="28" xfId="0" applyFill="1" applyBorder="1" applyAlignment="1">
      <alignment horizontal="left" vertical="top" wrapText="1"/>
    </xf>
    <xf numFmtId="0" fontId="0" fillId="9" borderId="46" xfId="0" applyFill="1" applyBorder="1" applyAlignment="1">
      <alignment horizontal="left" vertical="top" wrapText="1"/>
    </xf>
    <xf numFmtId="0" fontId="0" fillId="9" borderId="12" xfId="0" applyFill="1" applyBorder="1" applyAlignment="1">
      <alignment horizontal="left" vertical="top" wrapText="1"/>
    </xf>
    <xf numFmtId="0" fontId="0" fillId="9" borderId="48" xfId="0" applyFill="1" applyBorder="1" applyAlignment="1">
      <alignment horizontal="left" vertical="top" wrapText="1"/>
    </xf>
    <xf numFmtId="0" fontId="0" fillId="9" borderId="49" xfId="0" applyFill="1" applyBorder="1" applyAlignment="1">
      <alignment horizontal="left" vertical="top" wrapText="1"/>
    </xf>
    <xf numFmtId="0" fontId="8" fillId="9" borderId="16" xfId="0" applyFont="1" applyFill="1" applyBorder="1" applyAlignment="1">
      <alignment horizontal="left" vertical="top" wrapText="1"/>
    </xf>
    <xf numFmtId="0" fontId="8" fillId="9" borderId="11" xfId="0" applyFont="1" applyFill="1" applyBorder="1" applyAlignment="1">
      <alignment horizontal="left" vertical="top" wrapText="1"/>
    </xf>
    <xf numFmtId="0" fontId="8" fillId="9" borderId="17" xfId="0" applyFont="1" applyFill="1" applyBorder="1" applyAlignment="1">
      <alignment horizontal="left" vertical="top" wrapText="1"/>
    </xf>
    <xf numFmtId="0" fontId="0" fillId="9" borderId="31" xfId="0" applyFill="1" applyBorder="1" applyAlignment="1">
      <alignment horizontal="left" vertical="top" wrapText="1"/>
    </xf>
    <xf numFmtId="0" fontId="8" fillId="9" borderId="16" xfId="0" quotePrefix="1" applyFont="1" applyFill="1" applyBorder="1" applyAlignment="1">
      <alignment vertical="top" wrapText="1"/>
    </xf>
    <xf numFmtId="0" fontId="0" fillId="11" borderId="31" xfId="0" applyFill="1" applyBorder="1" applyAlignment="1">
      <alignment horizontal="left" vertical="top" wrapText="1"/>
    </xf>
    <xf numFmtId="0" fontId="0" fillId="11" borderId="49" xfId="0" applyFill="1" applyBorder="1" applyAlignment="1">
      <alignment horizontal="left" vertical="top" wrapText="1"/>
    </xf>
    <xf numFmtId="0" fontId="0" fillId="9" borderId="11" xfId="0" applyFill="1" applyBorder="1" applyAlignment="1">
      <alignment horizontal="left"/>
    </xf>
    <xf numFmtId="10" fontId="0" fillId="9" borderId="0" xfId="0" applyNumberFormat="1" applyFill="1" applyAlignment="1">
      <alignment horizontal="left" wrapText="1"/>
    </xf>
    <xf numFmtId="10" fontId="0" fillId="6" borderId="10" xfId="0" applyNumberFormat="1" applyFill="1" applyBorder="1" applyAlignment="1">
      <alignment horizontal="left" wrapText="1"/>
    </xf>
    <xf numFmtId="10" fontId="0" fillId="6" borderId="12" xfId="0" applyNumberFormat="1" applyFill="1" applyBorder="1" applyAlignment="1">
      <alignment horizontal="left" wrapText="1"/>
    </xf>
    <xf numFmtId="10" fontId="0" fillId="6" borderId="14" xfId="0" applyNumberFormat="1" applyFill="1" applyBorder="1" applyAlignment="1">
      <alignment horizontal="left" wrapText="1"/>
    </xf>
    <xf numFmtId="10" fontId="0" fillId="8" borderId="9" xfId="0" applyNumberFormat="1" applyFill="1" applyBorder="1" applyAlignment="1">
      <alignment horizontal="left" wrapText="1"/>
    </xf>
    <xf numFmtId="10" fontId="0" fillId="8" borderId="0" xfId="0" applyNumberFormat="1" applyFill="1" applyAlignment="1">
      <alignment horizontal="left" wrapText="1"/>
    </xf>
    <xf numFmtId="10" fontId="0" fillId="8" borderId="1" xfId="0" applyNumberFormat="1" applyFill="1" applyBorder="1" applyAlignment="1">
      <alignment horizontal="left" wrapText="1"/>
    </xf>
    <xf numFmtId="0" fontId="0" fillId="6" borderId="11" xfId="0" applyFill="1" applyBorder="1" applyAlignment="1">
      <alignment wrapText="1"/>
    </xf>
    <xf numFmtId="0" fontId="0" fillId="6" borderId="0" xfId="0" applyFill="1" applyAlignment="1">
      <alignment wrapText="1"/>
    </xf>
    <xf numFmtId="1" fontId="0" fillId="6" borderId="0" xfId="0" applyNumberFormat="1" applyFill="1" applyAlignment="1">
      <alignment wrapText="1"/>
    </xf>
    <xf numFmtId="0" fontId="0" fillId="8" borderId="11" xfId="0" applyFill="1" applyBorder="1" applyAlignment="1">
      <alignment wrapText="1"/>
    </xf>
    <xf numFmtId="0" fontId="0" fillId="8" borderId="0" xfId="0" applyFill="1" applyAlignment="1">
      <alignment wrapText="1"/>
    </xf>
    <xf numFmtId="1" fontId="0" fillId="8" borderId="0" xfId="0" applyNumberFormat="1" applyFill="1" applyAlignment="1">
      <alignment wrapText="1"/>
    </xf>
    <xf numFmtId="0" fontId="0" fillId="9" borderId="0" xfId="0" applyFill="1" applyAlignment="1">
      <alignment wrapText="1"/>
    </xf>
    <xf numFmtId="0" fontId="8" fillId="9" borderId="0" xfId="0" applyFont="1" applyFill="1" applyAlignment="1">
      <alignment wrapText="1"/>
    </xf>
    <xf numFmtId="1" fontId="8" fillId="9" borderId="0" xfId="0" applyNumberFormat="1" applyFont="1" applyFill="1" applyAlignment="1">
      <alignment wrapText="1"/>
    </xf>
    <xf numFmtId="0" fontId="0" fillId="9" borderId="1" xfId="0" applyFill="1" applyBorder="1" applyAlignment="1">
      <alignment wrapText="1"/>
    </xf>
    <xf numFmtId="0" fontId="0" fillId="6" borderId="8" xfId="0" applyFill="1" applyBorder="1" applyAlignment="1">
      <alignment wrapText="1"/>
    </xf>
    <xf numFmtId="0" fontId="0" fillId="6" borderId="9" xfId="0" applyFill="1" applyBorder="1" applyAlignment="1">
      <alignment wrapText="1"/>
    </xf>
    <xf numFmtId="0" fontId="0" fillId="6" borderId="5" xfId="0" applyFill="1" applyBorder="1" applyAlignment="1">
      <alignment wrapText="1"/>
    </xf>
    <xf numFmtId="0" fontId="0" fillId="6" borderId="7" xfId="0" applyFill="1" applyBorder="1" applyAlignment="1">
      <alignment wrapText="1"/>
    </xf>
    <xf numFmtId="0" fontId="0" fillId="6" borderId="15" xfId="0" applyFill="1" applyBorder="1" applyAlignment="1">
      <alignment wrapText="1"/>
    </xf>
    <xf numFmtId="0" fontId="0" fillId="6" borderId="16" xfId="0" applyFill="1" applyBorder="1" applyAlignment="1">
      <alignment wrapText="1"/>
    </xf>
    <xf numFmtId="0" fontId="0" fillId="6" borderId="13" xfId="0" applyFill="1" applyBorder="1" applyAlignment="1">
      <alignment wrapText="1"/>
    </xf>
    <xf numFmtId="0" fontId="0" fillId="6" borderId="17" xfId="0" applyFill="1" applyBorder="1" applyAlignment="1">
      <alignment wrapText="1"/>
    </xf>
    <xf numFmtId="0" fontId="0" fillId="8" borderId="8" xfId="0" applyFill="1" applyBorder="1" applyAlignment="1">
      <alignment wrapText="1"/>
    </xf>
    <xf numFmtId="0" fontId="0" fillId="8" borderId="9" xfId="0" applyFill="1" applyBorder="1" applyAlignment="1">
      <alignment wrapText="1"/>
    </xf>
    <xf numFmtId="0" fontId="0" fillId="8" borderId="6" xfId="0" applyFill="1" applyBorder="1" applyAlignment="1">
      <alignment wrapText="1"/>
    </xf>
    <xf numFmtId="0" fontId="0" fillId="8" borderId="7" xfId="0" applyFill="1" applyBorder="1" applyAlignment="1">
      <alignment wrapText="1"/>
    </xf>
    <xf numFmtId="0" fontId="0" fillId="8" borderId="15" xfId="0" applyFill="1" applyBorder="1" applyAlignment="1">
      <alignment wrapText="1"/>
    </xf>
    <xf numFmtId="0" fontId="0" fillId="8" borderId="16" xfId="0" applyFill="1" applyBorder="1" applyAlignment="1">
      <alignment wrapText="1"/>
    </xf>
    <xf numFmtId="0" fontId="0" fillId="8" borderId="13" xfId="0" applyFill="1" applyBorder="1" applyAlignment="1">
      <alignment wrapText="1"/>
    </xf>
    <xf numFmtId="0" fontId="0" fillId="8" borderId="17" xfId="0" applyFill="1" applyBorder="1" applyAlignment="1">
      <alignment wrapText="1"/>
    </xf>
    <xf numFmtId="0" fontId="0" fillId="9" borderId="9" xfId="0" applyFill="1" applyBorder="1" applyAlignment="1">
      <alignment wrapText="1"/>
    </xf>
    <xf numFmtId="0" fontId="0" fillId="9" borderId="15" xfId="0" applyFill="1" applyBorder="1" applyAlignment="1">
      <alignment wrapText="1"/>
    </xf>
    <xf numFmtId="0" fontId="0" fillId="9" borderId="16" xfId="0" applyFill="1" applyBorder="1" applyAlignment="1">
      <alignment wrapText="1"/>
    </xf>
    <xf numFmtId="0" fontId="0" fillId="9" borderId="17" xfId="0" applyFill="1" applyBorder="1" applyAlignment="1">
      <alignment wrapText="1"/>
    </xf>
    <xf numFmtId="0" fontId="8" fillId="6" borderId="8" xfId="0" applyFont="1" applyFill="1" applyBorder="1" applyAlignment="1">
      <alignment wrapText="1"/>
    </xf>
    <xf numFmtId="0" fontId="8" fillId="6" borderId="5" xfId="0" applyFont="1" applyFill="1" applyBorder="1" applyAlignment="1">
      <alignment wrapText="1"/>
    </xf>
    <xf numFmtId="9" fontId="0" fillId="9" borderId="7" xfId="0" applyNumberFormat="1" applyFill="1" applyBorder="1" applyAlignment="1">
      <alignment wrapText="1"/>
    </xf>
    <xf numFmtId="0" fontId="8" fillId="9" borderId="16" xfId="0" applyFont="1" applyFill="1" applyBorder="1" applyAlignment="1">
      <alignment wrapText="1"/>
    </xf>
    <xf numFmtId="0" fontId="8" fillId="9" borderId="17" xfId="0" applyFont="1" applyFill="1" applyBorder="1" applyAlignment="1">
      <alignment wrapText="1"/>
    </xf>
    <xf numFmtId="9" fontId="0" fillId="6" borderId="15" xfId="0" quotePrefix="1" applyNumberFormat="1" applyFill="1" applyBorder="1" applyAlignment="1">
      <alignment wrapText="1"/>
    </xf>
    <xf numFmtId="0" fontId="0" fillId="6" borderId="10" xfId="0" applyFill="1" applyBorder="1" applyAlignment="1">
      <alignment wrapText="1"/>
    </xf>
    <xf numFmtId="0" fontId="0" fillId="6" borderId="12" xfId="0" applyFill="1" applyBorder="1" applyAlignment="1">
      <alignment wrapText="1"/>
    </xf>
    <xf numFmtId="0" fontId="8" fillId="6" borderId="4" xfId="0" applyFont="1" applyFill="1" applyBorder="1" applyAlignment="1">
      <alignment wrapText="1"/>
    </xf>
    <xf numFmtId="0" fontId="0" fillId="8" borderId="12" xfId="0" applyFill="1" applyBorder="1" applyAlignment="1">
      <alignment wrapText="1"/>
    </xf>
    <xf numFmtId="0" fontId="0" fillId="9" borderId="12" xfId="0" applyFill="1" applyBorder="1" applyAlignment="1">
      <alignment wrapText="1"/>
    </xf>
    <xf numFmtId="0" fontId="0" fillId="9" borderId="14" xfId="0" applyFill="1" applyBorder="1" applyAlignment="1">
      <alignment wrapText="1"/>
    </xf>
    <xf numFmtId="0" fontId="3" fillId="5" borderId="0" xfId="0" applyFont="1" applyFill="1" applyAlignment="1">
      <alignment horizontal="right" vertical="center"/>
    </xf>
    <xf numFmtId="0" fontId="84" fillId="5" borderId="0" xfId="0" applyFont="1" applyFill="1" applyAlignment="1">
      <alignment vertical="center"/>
    </xf>
    <xf numFmtId="0" fontId="0" fillId="13" borderId="8" xfId="0" applyFill="1" applyBorder="1" applyAlignment="1">
      <alignment wrapText="1"/>
    </xf>
    <xf numFmtId="0" fontId="0" fillId="13" borderId="9" xfId="0" applyFill="1" applyBorder="1" applyAlignment="1">
      <alignment wrapText="1"/>
    </xf>
    <xf numFmtId="0" fontId="0" fillId="13" borderId="5" xfId="0" applyFill="1" applyBorder="1" applyAlignment="1">
      <alignment wrapText="1"/>
    </xf>
    <xf numFmtId="0" fontId="0" fillId="13" borderId="11" xfId="0" applyFill="1" applyBorder="1" applyAlignment="1">
      <alignment wrapText="1"/>
    </xf>
    <xf numFmtId="0" fontId="0" fillId="13" borderId="13" xfId="0" applyFill="1" applyBorder="1" applyAlignment="1">
      <alignment wrapText="1"/>
    </xf>
    <xf numFmtId="0" fontId="0" fillId="13" borderId="15" xfId="0" applyFill="1" applyBorder="1" applyAlignment="1">
      <alignment wrapText="1"/>
    </xf>
    <xf numFmtId="0" fontId="0" fillId="13" borderId="16" xfId="0" applyFill="1" applyBorder="1" applyAlignment="1">
      <alignment wrapText="1"/>
    </xf>
    <xf numFmtId="0" fontId="0" fillId="13" borderId="17" xfId="0" applyFill="1" applyBorder="1" applyAlignment="1">
      <alignment wrapText="1"/>
    </xf>
    <xf numFmtId="0" fontId="0" fillId="13" borderId="15" xfId="0" applyFill="1" applyBorder="1"/>
    <xf numFmtId="9" fontId="0" fillId="13" borderId="4" xfId="0" applyNumberFormat="1" applyFill="1" applyBorder="1" applyAlignment="1">
      <alignment wrapText="1"/>
    </xf>
    <xf numFmtId="0" fontId="0" fillId="13" borderId="7" xfId="0" applyFill="1" applyBorder="1" applyAlignment="1">
      <alignment wrapText="1"/>
    </xf>
    <xf numFmtId="0" fontId="85" fillId="5" borderId="0" xfId="0" applyFont="1" applyFill="1" applyAlignment="1">
      <alignment vertical="center"/>
    </xf>
    <xf numFmtId="49" fontId="23" fillId="5" borderId="16" xfId="0" applyNumberFormat="1" applyFont="1" applyFill="1" applyBorder="1" applyAlignment="1">
      <alignment vertical="top" wrapText="1"/>
    </xf>
    <xf numFmtId="0" fontId="8" fillId="13" borderId="16" xfId="0" applyFont="1" applyFill="1" applyBorder="1" applyAlignment="1">
      <alignment vertical="top" wrapText="1"/>
    </xf>
    <xf numFmtId="0" fontId="8" fillId="13" borderId="16" xfId="0" applyFont="1" applyFill="1" applyBorder="1" applyAlignment="1">
      <alignment horizontal="right"/>
    </xf>
    <xf numFmtId="0" fontId="8" fillId="13" borderId="12" xfId="0" applyFont="1" applyFill="1" applyBorder="1" applyAlignment="1">
      <alignment vertical="top" wrapText="1"/>
    </xf>
    <xf numFmtId="0" fontId="0" fillId="13" borderId="28" xfId="0" applyFill="1" applyBorder="1" applyAlignment="1">
      <alignment horizontal="left" vertical="top" wrapText="1"/>
    </xf>
    <xf numFmtId="0" fontId="0" fillId="13" borderId="46" xfId="0" applyFill="1" applyBorder="1" applyAlignment="1">
      <alignment horizontal="left" vertical="top" wrapText="1"/>
    </xf>
    <xf numFmtId="0" fontId="0" fillId="13" borderId="12" xfId="0" applyFill="1" applyBorder="1" applyAlignment="1">
      <alignment horizontal="left" vertical="top" wrapText="1"/>
    </xf>
    <xf numFmtId="0" fontId="0" fillId="6" borderId="49" xfId="0" applyFill="1" applyBorder="1" applyAlignment="1">
      <alignment horizontal="left" vertical="top" wrapText="1"/>
    </xf>
    <xf numFmtId="0" fontId="8" fillId="13" borderId="16" xfId="0" applyFont="1" applyFill="1" applyBorder="1" applyAlignment="1">
      <alignment wrapText="1"/>
    </xf>
    <xf numFmtId="0" fontId="3" fillId="5" borderId="57" xfId="0" applyFont="1" applyFill="1" applyBorder="1" applyAlignment="1">
      <alignment vertical="center"/>
    </xf>
    <xf numFmtId="0" fontId="3" fillId="5" borderId="60" xfId="0" applyFont="1" applyFill="1" applyBorder="1" applyAlignment="1">
      <alignment vertical="center"/>
    </xf>
    <xf numFmtId="0" fontId="3" fillId="5" borderId="2" xfId="0" applyFont="1" applyFill="1" applyBorder="1" applyAlignment="1">
      <alignment horizontal="right" vertical="center"/>
    </xf>
    <xf numFmtId="0" fontId="3" fillId="5" borderId="2" xfId="0" applyFont="1" applyFill="1" applyBorder="1" applyAlignment="1">
      <alignment horizontal="right"/>
    </xf>
    <xf numFmtId="2" fontId="20" fillId="13" borderId="0" xfId="2" applyNumberFormat="1" applyFont="1" applyFill="1" applyBorder="1" applyAlignment="1">
      <alignment horizontal="center"/>
    </xf>
    <xf numFmtId="0" fontId="0" fillId="13" borderId="0" xfId="0" applyFill="1" applyAlignment="1">
      <alignment horizontal="center"/>
    </xf>
    <xf numFmtId="10" fontId="0" fillId="13" borderId="0" xfId="0" applyNumberFormat="1" applyFill="1" applyAlignment="1">
      <alignment horizontal="center" wrapText="1"/>
    </xf>
    <xf numFmtId="0" fontId="8" fillId="13" borderId="16" xfId="0" applyFont="1" applyFill="1" applyBorder="1" applyAlignment="1">
      <alignment vertical="center"/>
    </xf>
    <xf numFmtId="0" fontId="8" fillId="13" borderId="28" xfId="0" applyFont="1" applyFill="1" applyBorder="1" applyAlignment="1">
      <alignment vertical="top" wrapText="1"/>
    </xf>
    <xf numFmtId="0" fontId="14" fillId="5" borderId="15" xfId="0" applyFont="1" applyFill="1" applyBorder="1" applyAlignment="1">
      <alignment horizontal="left" wrapText="1"/>
    </xf>
    <xf numFmtId="0" fontId="23" fillId="5" borderId="15" xfId="0" applyFont="1" applyFill="1" applyBorder="1" applyAlignment="1">
      <alignment horizontal="left"/>
    </xf>
    <xf numFmtId="0" fontId="0" fillId="5" borderId="17" xfId="0" applyFill="1" applyBorder="1" applyAlignment="1">
      <alignment horizontal="left"/>
    </xf>
    <xf numFmtId="49" fontId="8" fillId="13" borderId="16" xfId="0" applyNumberFormat="1" applyFont="1" applyFill="1" applyBorder="1" applyAlignment="1">
      <alignment horizontal="right"/>
    </xf>
    <xf numFmtId="0" fontId="8" fillId="13" borderId="28" xfId="0" applyFont="1" applyFill="1" applyBorder="1"/>
    <xf numFmtId="0" fontId="8" fillId="13" borderId="31" xfId="0" applyFont="1" applyFill="1" applyBorder="1"/>
    <xf numFmtId="0" fontId="8" fillId="13" borderId="49" xfId="0" applyFont="1" applyFill="1" applyBorder="1"/>
    <xf numFmtId="0" fontId="8" fillId="9" borderId="4" xfId="0" applyFont="1" applyFill="1" applyBorder="1" applyAlignment="1">
      <alignment horizontal="right"/>
    </xf>
    <xf numFmtId="0" fontId="8" fillId="9" borderId="15" xfId="0" applyFont="1" applyFill="1" applyBorder="1" applyAlignment="1">
      <alignment horizontal="right"/>
    </xf>
    <xf numFmtId="0" fontId="8" fillId="9" borderId="16" xfId="0" applyFont="1" applyFill="1" applyBorder="1" applyAlignment="1">
      <alignment horizontal="right"/>
    </xf>
    <xf numFmtId="0" fontId="8" fillId="9" borderId="16" xfId="0" applyFont="1" applyFill="1" applyBorder="1"/>
    <xf numFmtId="0" fontId="8" fillId="13" borderId="11" xfId="0" applyFont="1" applyFill="1" applyBorder="1" applyAlignment="1">
      <alignment vertical="top" wrapText="1"/>
    </xf>
    <xf numFmtId="0" fontId="0" fillId="13" borderId="49" xfId="0" applyFill="1" applyBorder="1" applyAlignment="1">
      <alignment horizontal="left" vertical="top" wrapText="1"/>
    </xf>
    <xf numFmtId="0" fontId="8" fillId="13" borderId="16" xfId="0" applyFont="1" applyFill="1" applyBorder="1"/>
    <xf numFmtId="0" fontId="0" fillId="13" borderId="31" xfId="0" applyFill="1" applyBorder="1" applyAlignment="1">
      <alignment horizontal="left" vertical="top" wrapText="1"/>
    </xf>
    <xf numFmtId="0" fontId="3" fillId="5" borderId="21" xfId="0" applyFont="1" applyFill="1" applyBorder="1"/>
    <xf numFmtId="0" fontId="79" fillId="5" borderId="0" xfId="0" applyFont="1" applyFill="1" applyAlignment="1">
      <alignment vertical="center"/>
    </xf>
    <xf numFmtId="0" fontId="80" fillId="5" borderId="0" xfId="0" applyFont="1" applyFill="1" applyAlignment="1">
      <alignment vertical="center"/>
    </xf>
    <xf numFmtId="0" fontId="4" fillId="5" borderId="0" xfId="0" applyFont="1" applyFill="1"/>
    <xf numFmtId="0" fontId="16" fillId="5" borderId="2" xfId="0" applyFont="1" applyFill="1" applyBorder="1" applyAlignment="1">
      <alignment horizontal="left" vertical="center"/>
    </xf>
    <xf numFmtId="0" fontId="27" fillId="5" borderId="2" xfId="0" applyFont="1" applyFill="1" applyBorder="1" applyAlignment="1">
      <alignment horizontal="left" vertical="center"/>
    </xf>
    <xf numFmtId="0" fontId="18" fillId="5" borderId="2" xfId="0" applyFont="1" applyFill="1" applyBorder="1" applyAlignment="1">
      <alignment horizontal="left" vertical="center"/>
    </xf>
    <xf numFmtId="0" fontId="8" fillId="5" borderId="2" xfId="0" applyFont="1" applyFill="1" applyBorder="1" applyAlignment="1">
      <alignment horizontal="left" vertical="center"/>
    </xf>
    <xf numFmtId="0" fontId="15" fillId="5" borderId="2" xfId="0" applyFont="1" applyFill="1" applyBorder="1" applyAlignment="1">
      <alignment horizontal="left" vertical="center"/>
    </xf>
    <xf numFmtId="0" fontId="17" fillId="5" borderId="2" xfId="0" applyFont="1" applyFill="1" applyBorder="1" applyAlignment="1">
      <alignment horizontal="left" vertical="center"/>
    </xf>
    <xf numFmtId="0" fontId="19" fillId="5" borderId="2" xfId="0" applyFont="1" applyFill="1" applyBorder="1" applyAlignment="1">
      <alignment horizontal="left" vertical="center"/>
    </xf>
    <xf numFmtId="0" fontId="1" fillId="5" borderId="2" xfId="0" applyFont="1" applyFill="1" applyBorder="1" applyAlignment="1">
      <alignment horizontal="right" vertical="center"/>
    </xf>
    <xf numFmtId="0" fontId="0" fillId="5" borderId="0" xfId="0" applyFill="1" applyAlignment="1" applyProtection="1">
      <alignment horizontal="right"/>
      <protection locked="0"/>
    </xf>
    <xf numFmtId="0" fontId="8" fillId="13" borderId="31" xfId="0" applyFont="1" applyFill="1" applyBorder="1" applyAlignment="1">
      <alignment vertical="top" wrapText="1"/>
    </xf>
    <xf numFmtId="0" fontId="3" fillId="5" borderId="0" xfId="0" applyFont="1" applyFill="1" applyAlignment="1" applyProtection="1">
      <alignment horizontal="right"/>
      <protection locked="0"/>
    </xf>
    <xf numFmtId="0" fontId="29" fillId="5" borderId="0" xfId="0" applyFont="1" applyFill="1" applyAlignment="1" applyProtection="1">
      <alignment horizontal="right" vertical="top"/>
      <protection locked="0"/>
    </xf>
    <xf numFmtId="10" fontId="14" fillId="5" borderId="7" xfId="0" applyNumberFormat="1" applyFont="1" applyFill="1" applyBorder="1" applyAlignment="1">
      <alignment horizontal="center" wrapText="1"/>
    </xf>
    <xf numFmtId="0" fontId="0" fillId="13" borderId="0" xfId="0" applyFill="1" applyAlignment="1">
      <alignment wrapText="1"/>
    </xf>
    <xf numFmtId="0" fontId="8" fillId="13" borderId="0" xfId="0" applyFont="1" applyFill="1" applyAlignment="1">
      <alignment wrapText="1"/>
    </xf>
    <xf numFmtId="1" fontId="8" fillId="13" borderId="0" xfId="0" applyNumberFormat="1" applyFont="1" applyFill="1" applyAlignment="1">
      <alignment wrapText="1"/>
    </xf>
    <xf numFmtId="0" fontId="0" fillId="13" borderId="1" xfId="0" applyFill="1" applyBorder="1" applyAlignment="1">
      <alignment wrapText="1"/>
    </xf>
    <xf numFmtId="0" fontId="8" fillId="13" borderId="1" xfId="0" applyFont="1" applyFill="1" applyBorder="1" applyAlignment="1">
      <alignment wrapText="1"/>
    </xf>
    <xf numFmtId="9" fontId="0" fillId="13" borderId="5" xfId="0" applyNumberFormat="1" applyFill="1" applyBorder="1" applyAlignment="1">
      <alignment wrapText="1"/>
    </xf>
    <xf numFmtId="9" fontId="0" fillId="13" borderId="6" xfId="0" applyNumberFormat="1" applyFill="1" applyBorder="1" applyAlignment="1">
      <alignment wrapText="1"/>
    </xf>
    <xf numFmtId="0" fontId="14" fillId="5" borderId="8" xfId="0" applyFont="1" applyFill="1" applyBorder="1" applyAlignment="1">
      <alignment horizontal="center"/>
    </xf>
    <xf numFmtId="0" fontId="67" fillId="7" borderId="0" xfId="0" applyFont="1" applyFill="1" applyAlignment="1">
      <alignment horizontal="left" vertical="top"/>
    </xf>
    <xf numFmtId="0" fontId="23" fillId="5" borderId="10" xfId="0" applyFont="1" applyFill="1" applyBorder="1" applyAlignment="1">
      <alignment horizontal="center"/>
    </xf>
    <xf numFmtId="0" fontId="0" fillId="13" borderId="0" xfId="0" applyFill="1"/>
    <xf numFmtId="0" fontId="0" fillId="13" borderId="11" xfId="0" applyFill="1" applyBorder="1"/>
    <xf numFmtId="10" fontId="0" fillId="9" borderId="9" xfId="0" applyNumberFormat="1" applyFill="1" applyBorder="1" applyAlignment="1">
      <alignment horizontal="left" wrapText="1"/>
    </xf>
    <xf numFmtId="10" fontId="0" fillId="9" borderId="1" xfId="0" applyNumberFormat="1" applyFill="1" applyBorder="1" applyAlignment="1">
      <alignment horizontal="left" wrapText="1"/>
    </xf>
    <xf numFmtId="0" fontId="0" fillId="13" borderId="11" xfId="0" applyFill="1" applyBorder="1" applyAlignment="1">
      <alignment horizontal="center"/>
    </xf>
    <xf numFmtId="0" fontId="0" fillId="13" borderId="11" xfId="0" applyFill="1" applyBorder="1" applyAlignment="1">
      <alignment horizontal="left"/>
    </xf>
    <xf numFmtId="0" fontId="3" fillId="0" borderId="61" xfId="0" applyFont="1" applyBorder="1" applyAlignment="1">
      <alignment vertical="center"/>
    </xf>
    <xf numFmtId="0" fontId="3" fillId="5" borderId="61" xfId="0" applyFont="1" applyFill="1" applyBorder="1"/>
    <xf numFmtId="0" fontId="3" fillId="8" borderId="57" xfId="0" applyFont="1" applyFill="1" applyBorder="1" applyAlignment="1">
      <alignment vertical="center"/>
    </xf>
    <xf numFmtId="0" fontId="3" fillId="5" borderId="57" xfId="0" applyFont="1" applyFill="1" applyBorder="1" applyAlignment="1">
      <alignment horizontal="right" vertical="center"/>
    </xf>
    <xf numFmtId="0" fontId="8" fillId="11" borderId="0" xfId="0" applyFont="1" applyFill="1" applyAlignment="1">
      <alignment wrapText="1"/>
    </xf>
    <xf numFmtId="10" fontId="8" fillId="11" borderId="0" xfId="0" applyNumberFormat="1" applyFont="1" applyFill="1" applyAlignment="1">
      <alignment horizontal="center" wrapText="1"/>
    </xf>
    <xf numFmtId="10" fontId="8" fillId="5" borderId="8" xfId="0" applyNumberFormat="1" applyFont="1" applyFill="1" applyBorder="1" applyAlignment="1">
      <alignment horizontal="left" wrapText="1"/>
    </xf>
    <xf numFmtId="10" fontId="8" fillId="5" borderId="11" xfId="0" applyNumberFormat="1" applyFont="1" applyFill="1" applyBorder="1" applyAlignment="1">
      <alignment horizontal="left" wrapText="1"/>
    </xf>
    <xf numFmtId="10" fontId="8" fillId="5" borderId="13" xfId="0" applyNumberFormat="1" applyFont="1" applyFill="1" applyBorder="1" applyAlignment="1">
      <alignment horizontal="center" wrapText="1"/>
    </xf>
    <xf numFmtId="10" fontId="8" fillId="5" borderId="14" xfId="0" applyNumberFormat="1" applyFont="1" applyFill="1" applyBorder="1" applyAlignment="1">
      <alignment horizontal="center" wrapText="1"/>
    </xf>
    <xf numFmtId="0" fontId="0" fillId="8" borderId="29" xfId="0" applyFill="1" applyBorder="1" applyAlignment="1">
      <alignment horizontal="left" vertical="top" wrapText="1"/>
    </xf>
    <xf numFmtId="0" fontId="0" fillId="8" borderId="14" xfId="0" applyFill="1" applyBorder="1" applyAlignment="1">
      <alignment horizontal="left" vertical="top" wrapText="1"/>
    </xf>
    <xf numFmtId="0" fontId="0" fillId="0" borderId="5" xfId="0" applyBorder="1"/>
    <xf numFmtId="0" fontId="0" fillId="0" borderId="6" xfId="0" applyBorder="1"/>
    <xf numFmtId="0" fontId="0" fillId="0" borderId="7" xfId="0" applyBorder="1"/>
    <xf numFmtId="0" fontId="0" fillId="5" borderId="4" xfId="0" applyFill="1" applyBorder="1" applyAlignment="1">
      <alignment horizontal="left"/>
    </xf>
    <xf numFmtId="0" fontId="0" fillId="5" borderId="4" xfId="0" applyFill="1" applyBorder="1" applyAlignment="1">
      <alignment horizontal="left" wrapText="1"/>
    </xf>
    <xf numFmtId="0" fontId="0" fillId="5" borderId="4" xfId="0" applyFill="1" applyBorder="1" applyAlignment="1">
      <alignment wrapText="1"/>
    </xf>
    <xf numFmtId="0" fontId="14" fillId="5" borderId="5" xfId="0" applyFont="1" applyFill="1" applyBorder="1" applyAlignment="1">
      <alignment horizontal="left" wrapText="1"/>
    </xf>
    <xf numFmtId="0" fontId="14" fillId="5" borderId="7" xfId="0" applyFont="1" applyFill="1" applyBorder="1" applyAlignment="1">
      <alignment horizontal="left" wrapText="1"/>
    </xf>
    <xf numFmtId="0" fontId="3" fillId="11" borderId="66" xfId="0" applyFont="1" applyFill="1" applyBorder="1" applyAlignment="1">
      <alignment horizontal="right" vertical="center"/>
    </xf>
    <xf numFmtId="0" fontId="3" fillId="11" borderId="19" xfId="0" applyFont="1" applyFill="1" applyBorder="1" applyAlignment="1">
      <alignment horizontal="right" vertical="center"/>
    </xf>
    <xf numFmtId="0" fontId="3" fillId="11" borderId="67" xfId="0" applyFont="1" applyFill="1" applyBorder="1" applyAlignment="1">
      <alignment horizontal="right" vertical="center"/>
    </xf>
    <xf numFmtId="0" fontId="3" fillId="11" borderId="68" xfId="0" applyFont="1" applyFill="1" applyBorder="1" applyAlignment="1">
      <alignment horizontal="right" vertical="center"/>
    </xf>
    <xf numFmtId="0" fontId="3" fillId="11" borderId="19" xfId="0" applyFont="1" applyFill="1" applyBorder="1" applyAlignment="1">
      <alignment vertical="center"/>
    </xf>
    <xf numFmtId="0" fontId="0" fillId="14" borderId="0" xfId="0" applyFill="1"/>
    <xf numFmtId="0" fontId="0" fillId="14" borderId="0" xfId="0" applyFill="1" applyAlignment="1">
      <alignment vertical="top" wrapText="1"/>
    </xf>
    <xf numFmtId="0" fontId="0" fillId="14" borderId="0" xfId="0" applyFill="1" applyAlignment="1">
      <alignment wrapText="1"/>
    </xf>
    <xf numFmtId="0" fontId="0" fillId="5" borderId="31" xfId="0" applyFill="1" applyBorder="1" applyAlignment="1">
      <alignment horizontal="left" vertical="top" wrapText="1"/>
    </xf>
    <xf numFmtId="0" fontId="0" fillId="11" borderId="32" xfId="0" applyFill="1" applyBorder="1" applyAlignment="1">
      <alignment horizontal="left" vertical="top" wrapText="1"/>
    </xf>
    <xf numFmtId="0" fontId="88" fillId="11" borderId="1" xfId="0" applyFont="1" applyFill="1" applyBorder="1" applyAlignment="1">
      <alignment horizontal="center"/>
    </xf>
    <xf numFmtId="0" fontId="90" fillId="11" borderId="1" xfId="0" quotePrefix="1" applyFont="1" applyFill="1" applyBorder="1" applyAlignment="1">
      <alignment horizontal="left" wrapText="1"/>
    </xf>
    <xf numFmtId="0" fontId="91" fillId="11" borderId="1" xfId="0" applyFont="1" applyFill="1" applyBorder="1" applyAlignment="1">
      <alignment horizontal="center"/>
    </xf>
    <xf numFmtId="0" fontId="91" fillId="11" borderId="0" xfId="0" applyFont="1" applyFill="1" applyAlignment="1">
      <alignment horizontal="center"/>
    </xf>
    <xf numFmtId="0" fontId="92" fillId="11" borderId="0" xfId="0" applyFont="1" applyFill="1"/>
    <xf numFmtId="0" fontId="91" fillId="11" borderId="9" xfId="0" applyFont="1" applyFill="1" applyBorder="1" applyAlignment="1">
      <alignment horizontal="center"/>
    </xf>
    <xf numFmtId="0" fontId="14" fillId="5" borderId="4" xfId="0" applyFont="1" applyFill="1" applyBorder="1" applyAlignment="1">
      <alignment horizontal="center" vertical="center" wrapText="1"/>
    </xf>
    <xf numFmtId="49" fontId="14" fillId="5" borderId="4" xfId="0" applyNumberFormat="1" applyFont="1" applyFill="1" applyBorder="1" applyAlignment="1">
      <alignment horizontal="center" vertical="center"/>
    </xf>
    <xf numFmtId="0" fontId="0" fillId="5" borderId="49" xfId="0" applyFill="1" applyBorder="1" applyAlignment="1">
      <alignment horizontal="left" vertical="top" wrapText="1"/>
    </xf>
    <xf numFmtId="0" fontId="0" fillId="11" borderId="50" xfId="0" applyFill="1" applyBorder="1" applyAlignment="1">
      <alignment horizontal="left" vertical="top" wrapText="1"/>
    </xf>
    <xf numFmtId="0" fontId="89" fillId="11" borderId="0" xfId="0" quotePrefix="1" applyFont="1" applyFill="1" applyAlignment="1">
      <alignment wrapText="1"/>
    </xf>
    <xf numFmtId="0" fontId="60" fillId="5" borderId="0" xfId="0" applyFont="1" applyFill="1" applyAlignment="1" applyProtection="1">
      <alignment horizontal="center"/>
      <protection locked="0"/>
    </xf>
    <xf numFmtId="0" fontId="14" fillId="0" borderId="5" xfId="0" applyFont="1" applyBorder="1" applyAlignment="1">
      <alignment vertical="top"/>
    </xf>
    <xf numFmtId="0" fontId="14" fillId="0" borderId="6" xfId="0" applyFont="1" applyBorder="1" applyAlignment="1">
      <alignment vertical="top"/>
    </xf>
    <xf numFmtId="0" fontId="14" fillId="0" borderId="7" xfId="0" applyFont="1" applyBorder="1" applyAlignment="1">
      <alignment vertical="top"/>
    </xf>
    <xf numFmtId="0" fontId="5" fillId="9" borderId="21" xfId="0" applyFont="1" applyFill="1" applyBorder="1" applyAlignment="1">
      <alignment vertical="center"/>
    </xf>
    <xf numFmtId="0" fontId="14" fillId="5" borderId="5" xfId="0" applyFont="1" applyFill="1" applyBorder="1"/>
    <xf numFmtId="0" fontId="14" fillId="5" borderId="6" xfId="0" applyFont="1" applyFill="1" applyBorder="1"/>
    <xf numFmtId="0" fontId="14" fillId="5" borderId="7" xfId="0" applyFont="1" applyFill="1" applyBorder="1"/>
    <xf numFmtId="0" fontId="3" fillId="0" borderId="2" xfId="0" applyFont="1" applyBorder="1" applyAlignment="1">
      <alignment vertical="center"/>
    </xf>
    <xf numFmtId="0" fontId="1" fillId="11" borderId="19" xfId="0" applyFont="1" applyFill="1" applyBorder="1" applyAlignment="1">
      <alignment vertical="center"/>
    </xf>
    <xf numFmtId="49" fontId="3" fillId="11" borderId="19" xfId="0" applyNumberFormat="1" applyFont="1" applyFill="1" applyBorder="1" applyAlignment="1">
      <alignment horizontal="right" vertical="center"/>
    </xf>
    <xf numFmtId="0" fontId="4" fillId="5" borderId="26" xfId="0" applyFont="1" applyFill="1" applyBorder="1" applyAlignment="1">
      <alignment horizontal="left" vertical="center"/>
    </xf>
    <xf numFmtId="0" fontId="1" fillId="11" borderId="66" xfId="0" applyFont="1" applyFill="1" applyBorder="1" applyAlignment="1">
      <alignment vertical="center"/>
    </xf>
    <xf numFmtId="0" fontId="3" fillId="6" borderId="57" xfId="0" applyFont="1" applyFill="1" applyBorder="1" applyAlignment="1">
      <alignment vertical="center"/>
    </xf>
    <xf numFmtId="0" fontId="0" fillId="5" borderId="12" xfId="0" applyFill="1" applyBorder="1" applyAlignment="1">
      <alignment vertical="top" wrapText="1"/>
    </xf>
    <xf numFmtId="0" fontId="81" fillId="5" borderId="0" xfId="0" applyFont="1" applyFill="1" applyProtection="1">
      <protection locked="0"/>
    </xf>
    <xf numFmtId="0" fontId="0" fillId="5" borderId="0" xfId="0" applyFill="1" applyAlignment="1" applyProtection="1">
      <alignment vertical="top" wrapText="1"/>
      <protection locked="0"/>
    </xf>
    <xf numFmtId="0" fontId="85" fillId="5" borderId="0" xfId="0" applyFont="1" applyFill="1" applyProtection="1">
      <protection hidden="1"/>
    </xf>
    <xf numFmtId="0" fontId="27" fillId="5" borderId="0" xfId="0" applyFont="1" applyFill="1" applyAlignment="1">
      <alignment vertical="top"/>
    </xf>
    <xf numFmtId="0" fontId="8" fillId="5" borderId="11" xfId="0" applyFont="1" applyFill="1" applyBorder="1"/>
    <xf numFmtId="0" fontId="8" fillId="5" borderId="13" xfId="0" applyFont="1" applyFill="1" applyBorder="1"/>
    <xf numFmtId="0" fontId="20" fillId="6" borderId="12" xfId="2" applyNumberFormat="1" applyFont="1" applyFill="1" applyBorder="1" applyAlignment="1">
      <alignment wrapText="1"/>
    </xf>
    <xf numFmtId="0" fontId="20" fillId="5" borderId="12" xfId="2" applyNumberFormat="1" applyFont="1" applyFill="1" applyBorder="1" applyAlignment="1">
      <alignment wrapText="1"/>
    </xf>
    <xf numFmtId="0" fontId="7" fillId="5" borderId="12" xfId="2" applyNumberFormat="1" applyFont="1" applyFill="1" applyBorder="1" applyAlignment="1">
      <alignment wrapText="1"/>
    </xf>
    <xf numFmtId="0" fontId="20" fillId="5" borderId="11" xfId="2" applyNumberFormat="1" applyFont="1" applyFill="1" applyBorder="1" applyAlignment="1">
      <alignment wrapText="1"/>
    </xf>
    <xf numFmtId="0" fontId="7" fillId="5" borderId="11" xfId="2" applyNumberFormat="1" applyFont="1" applyFill="1" applyBorder="1" applyAlignment="1">
      <alignment wrapText="1"/>
    </xf>
    <xf numFmtId="0" fontId="20" fillId="5" borderId="14" xfId="2" applyNumberFormat="1" applyFont="1" applyFill="1" applyBorder="1" applyAlignment="1">
      <alignment wrapText="1"/>
    </xf>
    <xf numFmtId="0" fontId="20" fillId="5" borderId="13" xfId="2" applyNumberFormat="1" applyFont="1" applyFill="1" applyBorder="1" applyAlignment="1">
      <alignment wrapText="1"/>
    </xf>
    <xf numFmtId="0" fontId="0" fillId="8" borderId="12" xfId="0" applyFill="1" applyBorder="1"/>
    <xf numFmtId="0" fontId="8" fillId="8" borderId="12" xfId="0" applyFont="1" applyFill="1" applyBorder="1"/>
    <xf numFmtId="0" fontId="0" fillId="9" borderId="12" xfId="0" applyFill="1" applyBorder="1" applyAlignment="1">
      <alignment horizontal="left"/>
    </xf>
    <xf numFmtId="0" fontId="8" fillId="5" borderId="12" xfId="0" applyFont="1" applyFill="1" applyBorder="1" applyAlignment="1">
      <alignment horizontal="left"/>
    </xf>
    <xf numFmtId="0" fontId="8" fillId="5" borderId="14" xfId="0" applyFont="1" applyFill="1" applyBorder="1" applyAlignment="1">
      <alignment horizontal="left"/>
    </xf>
    <xf numFmtId="0" fontId="0" fillId="8" borderId="11" xfId="0" applyFill="1" applyBorder="1"/>
    <xf numFmtId="0" fontId="8" fillId="5" borderId="11" xfId="0" applyFont="1" applyFill="1" applyBorder="1" applyAlignment="1">
      <alignment horizontal="left"/>
    </xf>
    <xf numFmtId="0" fontId="8" fillId="5" borderId="13" xfId="0" applyFont="1" applyFill="1" applyBorder="1" applyAlignment="1">
      <alignment horizontal="left"/>
    </xf>
    <xf numFmtId="0" fontId="0" fillId="5" borderId="12" xfId="2" applyNumberFormat="1" applyFont="1" applyFill="1" applyBorder="1" applyAlignment="1">
      <alignment wrapText="1"/>
    </xf>
    <xf numFmtId="0" fontId="0" fillId="5" borderId="11" xfId="2" applyNumberFormat="1" applyFont="1" applyFill="1" applyBorder="1" applyAlignment="1">
      <alignment wrapText="1"/>
    </xf>
    <xf numFmtId="0" fontId="23" fillId="5" borderId="6" xfId="0" applyFont="1" applyFill="1" applyBorder="1" applyAlignment="1">
      <alignment horizontal="center"/>
    </xf>
    <xf numFmtId="0" fontId="9" fillId="5" borderId="0" xfId="1" applyFill="1" applyAlignment="1" applyProtection="1">
      <alignment vertical="top" wrapText="1"/>
      <protection locked="0"/>
    </xf>
    <xf numFmtId="164" fontId="0" fillId="7" borderId="0" xfId="0" applyNumberFormat="1" applyFill="1" applyAlignment="1" applyProtection="1">
      <alignment horizontal="right" vertical="top"/>
      <protection hidden="1"/>
    </xf>
    <xf numFmtId="164" fontId="0" fillId="11" borderId="0" xfId="0" applyNumberFormat="1" applyFill="1" applyAlignment="1" applyProtection="1">
      <alignment horizontal="right" vertical="top"/>
      <protection hidden="1"/>
    </xf>
    <xf numFmtId="164" fontId="0" fillId="5" borderId="0" xfId="0" applyNumberFormat="1" applyFill="1" applyAlignment="1" applyProtection="1">
      <alignment horizontal="right" vertical="top"/>
      <protection hidden="1"/>
    </xf>
    <xf numFmtId="164" fontId="0" fillId="11" borderId="0" xfId="0" applyNumberFormat="1" applyFill="1" applyAlignment="1" applyProtection="1">
      <alignment horizontal="right"/>
      <protection hidden="1"/>
    </xf>
    <xf numFmtId="164" fontId="0" fillId="5" borderId="0" xfId="0" applyNumberFormat="1" applyFill="1" applyAlignment="1" applyProtection="1">
      <alignment horizontal="right" vertical="top" wrapText="1"/>
      <protection hidden="1"/>
    </xf>
    <xf numFmtId="164" fontId="0" fillId="7" borderId="0" xfId="0" applyNumberFormat="1" applyFill="1" applyAlignment="1" applyProtection="1">
      <alignment horizontal="right"/>
      <protection hidden="1"/>
    </xf>
    <xf numFmtId="164" fontId="6" fillId="7" borderId="0" xfId="0" applyNumberFormat="1" applyFont="1" applyFill="1" applyAlignment="1" applyProtection="1">
      <alignment horizontal="right" vertical="top"/>
      <protection hidden="1"/>
    </xf>
    <xf numFmtId="164" fontId="0" fillId="5" borderId="0" xfId="0" applyNumberFormat="1" applyFill="1" applyAlignment="1" applyProtection="1">
      <alignment horizontal="right"/>
      <protection hidden="1"/>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xf>
    <xf numFmtId="0" fontId="9" fillId="5" borderId="0" xfId="1" applyFill="1" applyAlignment="1" applyProtection="1">
      <alignment wrapText="1"/>
      <protection locked="0"/>
    </xf>
    <xf numFmtId="0" fontId="67" fillId="5" borderId="0" xfId="0" applyFont="1" applyFill="1" applyProtection="1">
      <protection locked="0"/>
    </xf>
    <xf numFmtId="0" fontId="51" fillId="5" borderId="0" xfId="0" applyFont="1" applyFill="1" applyProtection="1">
      <protection locked="0"/>
    </xf>
    <xf numFmtId="0" fontId="51" fillId="5" borderId="0" xfId="0" applyFont="1" applyFill="1" applyAlignment="1" applyProtection="1">
      <alignment horizontal="center"/>
      <protection locked="0"/>
    </xf>
    <xf numFmtId="0" fontId="8" fillId="0" borderId="12" xfId="0" applyFont="1" applyBorder="1" applyAlignment="1">
      <alignment wrapText="1"/>
    </xf>
    <xf numFmtId="0" fontId="23" fillId="5" borderId="7" xfId="0" applyFont="1" applyFill="1" applyBorder="1" applyAlignment="1">
      <alignment horizontal="center"/>
    </xf>
    <xf numFmtId="0" fontId="4" fillId="16" borderId="63" xfId="0" applyFont="1" applyFill="1" applyBorder="1" applyAlignment="1">
      <alignment vertical="center"/>
    </xf>
    <xf numFmtId="0" fontId="4" fillId="16" borderId="61" xfId="0" applyFont="1" applyFill="1" applyBorder="1" applyAlignment="1">
      <alignment vertical="center"/>
    </xf>
    <xf numFmtId="0" fontId="4" fillId="15" borderId="65" xfId="0" applyFont="1" applyFill="1" applyBorder="1" applyAlignment="1">
      <alignment vertical="center"/>
    </xf>
    <xf numFmtId="0" fontId="4" fillId="15" borderId="61" xfId="0" applyFont="1" applyFill="1" applyBorder="1" applyAlignment="1">
      <alignment vertical="center"/>
    </xf>
    <xf numFmtId="0" fontId="4" fillId="17" borderId="60" xfId="0" applyFont="1" applyFill="1" applyBorder="1" applyAlignment="1">
      <alignment vertical="center"/>
    </xf>
    <xf numFmtId="0" fontId="4" fillId="17" borderId="26" xfId="0" applyFont="1" applyFill="1" applyBorder="1" applyAlignment="1">
      <alignment vertical="center"/>
    </xf>
    <xf numFmtId="0" fontId="89" fillId="11" borderId="12" xfId="0" quotePrefix="1" applyFont="1" applyFill="1" applyBorder="1" applyAlignment="1">
      <alignment wrapText="1"/>
    </xf>
    <xf numFmtId="0" fontId="89" fillId="11" borderId="1" xfId="0" quotePrefix="1" applyFont="1" applyFill="1" applyBorder="1" applyAlignment="1">
      <alignment wrapText="1"/>
    </xf>
    <xf numFmtId="0" fontId="89" fillId="11" borderId="14" xfId="0" quotePrefix="1" applyFont="1" applyFill="1" applyBorder="1" applyAlignment="1">
      <alignment wrapText="1"/>
    </xf>
    <xf numFmtId="0" fontId="89" fillId="11" borderId="9" xfId="0" quotePrefix="1" applyFont="1" applyFill="1" applyBorder="1" applyAlignment="1">
      <alignment wrapText="1"/>
    </xf>
    <xf numFmtId="0" fontId="0" fillId="6" borderId="11" xfId="0" applyFill="1" applyBorder="1" applyAlignment="1">
      <alignment horizontal="left"/>
    </xf>
    <xf numFmtId="0" fontId="8" fillId="9" borderId="11" xfId="0" applyFont="1" applyFill="1" applyBorder="1" applyAlignment="1">
      <alignment horizontal="left"/>
    </xf>
    <xf numFmtId="0" fontId="8" fillId="13" borderId="11" xfId="0" applyFont="1" applyFill="1" applyBorder="1" applyAlignment="1">
      <alignment horizontal="left"/>
    </xf>
    <xf numFmtId="0" fontId="8" fillId="13" borderId="13" xfId="0" applyFont="1" applyFill="1" applyBorder="1" applyAlignment="1">
      <alignment horizontal="left"/>
    </xf>
    <xf numFmtId="0" fontId="20" fillId="6" borderId="12" xfId="2" applyNumberFormat="1" applyFont="1" applyFill="1" applyBorder="1" applyAlignment="1"/>
    <xf numFmtId="0" fontId="20" fillId="5" borderId="12" xfId="2" applyNumberFormat="1" applyFont="1" applyFill="1" applyBorder="1" applyAlignment="1"/>
    <xf numFmtId="0" fontId="7" fillId="5" borderId="12" xfId="2" applyNumberFormat="1" applyFont="1" applyFill="1" applyBorder="1" applyAlignment="1"/>
    <xf numFmtId="0" fontId="3" fillId="0" borderId="2" xfId="0" applyFont="1" applyBorder="1" applyAlignment="1">
      <alignment horizontal="right" vertical="center"/>
    </xf>
    <xf numFmtId="0" fontId="20" fillId="6" borderId="8" xfId="2" applyNumberFormat="1" applyFont="1" applyFill="1" applyBorder="1" applyAlignment="1">
      <alignment horizontal="left" vertical="top"/>
    </xf>
    <xf numFmtId="0" fontId="20" fillId="6" borderId="10" xfId="2" applyNumberFormat="1" applyFont="1" applyFill="1" applyBorder="1" applyAlignment="1">
      <alignment horizontal="left"/>
    </xf>
    <xf numFmtId="0" fontId="20" fillId="6" borderId="11" xfId="2" applyNumberFormat="1" applyFont="1" applyFill="1" applyBorder="1" applyAlignment="1">
      <alignment horizontal="left" wrapText="1"/>
    </xf>
    <xf numFmtId="0" fontId="0" fillId="18" borderId="0" xfId="0" applyFill="1"/>
    <xf numFmtId="0" fontId="0" fillId="8" borderId="8" xfId="0" applyFill="1" applyBorder="1" applyAlignment="1">
      <alignment vertical="top" wrapText="1"/>
    </xf>
    <xf numFmtId="0" fontId="0" fillId="8" borderId="9" xfId="0" applyFill="1" applyBorder="1" applyAlignment="1">
      <alignment vertical="top" wrapText="1"/>
    </xf>
    <xf numFmtId="0" fontId="0" fillId="8" borderId="10" xfId="0" applyFill="1" applyBorder="1" applyAlignment="1">
      <alignment vertical="top" wrapText="1"/>
    </xf>
    <xf numFmtId="9" fontId="0" fillId="8" borderId="5" xfId="0" applyNumberFormat="1" applyFill="1" applyBorder="1" applyAlignment="1">
      <alignment wrapText="1"/>
    </xf>
    <xf numFmtId="9" fontId="0" fillId="8" borderId="6" xfId="0" applyNumberFormat="1" applyFill="1" applyBorder="1" applyAlignment="1">
      <alignment wrapText="1"/>
    </xf>
    <xf numFmtId="0" fontId="0" fillId="0" borderId="68" xfId="0" applyBorder="1"/>
    <xf numFmtId="0" fontId="0" fillId="0" borderId="23" xfId="0" applyBorder="1"/>
    <xf numFmtId="0" fontId="0" fillId="0" borderId="24" xfId="0" applyBorder="1"/>
    <xf numFmtId="0" fontId="0" fillId="0" borderId="19" xfId="0" applyBorder="1"/>
    <xf numFmtId="0" fontId="0" fillId="0" borderId="2" xfId="0" applyBorder="1"/>
    <xf numFmtId="0" fontId="0" fillId="0" borderId="26" xfId="0" applyBorder="1"/>
    <xf numFmtId="0" fontId="3" fillId="0" borderId="64" xfId="0" applyFont="1" applyBorder="1" applyAlignment="1">
      <alignment vertical="center"/>
    </xf>
    <xf numFmtId="0" fontId="4" fillId="16" borderId="65" xfId="0" applyFont="1" applyFill="1" applyBorder="1" applyAlignment="1">
      <alignment vertical="center"/>
    </xf>
    <xf numFmtId="0" fontId="3" fillId="0" borderId="74" xfId="0" applyFont="1" applyBorder="1" applyAlignment="1">
      <alignment vertical="center"/>
    </xf>
    <xf numFmtId="0" fontId="1" fillId="11" borderId="75" xfId="0" applyFont="1" applyFill="1" applyBorder="1" applyAlignment="1">
      <alignment vertical="center"/>
    </xf>
    <xf numFmtId="0" fontId="3" fillId="6" borderId="21" xfId="0" applyFont="1" applyFill="1" applyBorder="1" applyAlignment="1">
      <alignment vertical="center"/>
    </xf>
    <xf numFmtId="0" fontId="0" fillId="0" borderId="76" xfId="0" applyBorder="1"/>
    <xf numFmtId="0" fontId="0" fillId="0" borderId="77" xfId="0" applyBorder="1"/>
    <xf numFmtId="0" fontId="3" fillId="0" borderId="77" xfId="0" applyFont="1" applyBorder="1"/>
    <xf numFmtId="0" fontId="0" fillId="0" borderId="78" xfId="0" applyBorder="1"/>
    <xf numFmtId="0" fontId="3" fillId="11" borderId="73" xfId="0" applyFont="1" applyFill="1" applyBorder="1" applyAlignment="1">
      <alignment horizontal="right" vertical="center"/>
    </xf>
    <xf numFmtId="0" fontId="5" fillId="9" borderId="79" xfId="0" applyFont="1" applyFill="1" applyBorder="1" applyAlignment="1">
      <alignment vertical="center"/>
    </xf>
    <xf numFmtId="0" fontId="23" fillId="6" borderId="6" xfId="0" applyFont="1" applyFill="1" applyBorder="1" applyAlignment="1">
      <alignment wrapText="1"/>
    </xf>
    <xf numFmtId="0" fontId="23" fillId="6" borderId="7" xfId="0" applyFont="1" applyFill="1" applyBorder="1" applyAlignment="1">
      <alignment wrapText="1"/>
    </xf>
    <xf numFmtId="0" fontId="0" fillId="5" borderId="16" xfId="0" applyFill="1" applyBorder="1" applyAlignment="1">
      <alignment horizontal="left"/>
    </xf>
    <xf numFmtId="0" fontId="8" fillId="7" borderId="0" xfId="0" applyFont="1" applyFill="1" applyAlignment="1">
      <alignment vertical="top" wrapText="1"/>
    </xf>
    <xf numFmtId="2" fontId="20" fillId="5" borderId="16" xfId="2" applyNumberFormat="1" applyFont="1" applyFill="1" applyBorder="1" applyAlignment="1">
      <alignment horizontal="left"/>
    </xf>
    <xf numFmtId="0" fontId="0" fillId="0" borderId="1" xfId="0" applyBorder="1" applyAlignment="1" applyProtection="1">
      <alignment horizontal="left" vertical="top" wrapText="1"/>
      <protection locked="0"/>
    </xf>
    <xf numFmtId="0" fontId="14" fillId="18" borderId="4" xfId="0" applyFont="1" applyFill="1" applyBorder="1" applyAlignment="1">
      <alignment horizontal="center"/>
    </xf>
    <xf numFmtId="10" fontId="14" fillId="18" borderId="6" xfId="0" applyNumberFormat="1" applyFont="1" applyFill="1" applyBorder="1" applyAlignment="1">
      <alignment horizontal="center" wrapText="1"/>
    </xf>
    <xf numFmtId="10" fontId="14" fillId="18" borderId="7" xfId="0" applyNumberFormat="1" applyFont="1" applyFill="1" applyBorder="1" applyAlignment="1">
      <alignment horizontal="center" wrapText="1"/>
    </xf>
    <xf numFmtId="0" fontId="67" fillId="8" borderId="16" xfId="0" applyFont="1" applyFill="1" applyBorder="1" applyAlignment="1">
      <alignment horizontal="right"/>
    </xf>
    <xf numFmtId="0" fontId="97" fillId="9" borderId="16" xfId="0" applyFont="1" applyFill="1" applyBorder="1"/>
    <xf numFmtId="0" fontId="97" fillId="9" borderId="16" xfId="0" applyFont="1" applyFill="1" applyBorder="1" applyAlignment="1">
      <alignment horizontal="right"/>
    </xf>
    <xf numFmtId="2" fontId="0" fillId="5" borderId="17" xfId="2" applyNumberFormat="1" applyFont="1" applyFill="1" applyBorder="1" applyAlignment="1">
      <alignment horizontal="left"/>
    </xf>
    <xf numFmtId="2" fontId="20" fillId="5" borderId="15" xfId="2" applyNumberFormat="1" applyFont="1" applyFill="1" applyBorder="1" applyAlignment="1">
      <alignment horizontal="left"/>
    </xf>
    <xf numFmtId="0" fontId="0" fillId="5" borderId="15" xfId="0" applyFill="1" applyBorder="1" applyAlignment="1">
      <alignment horizontal="left"/>
    </xf>
    <xf numFmtId="10" fontId="0" fillId="5" borderId="15" xfId="0" applyNumberFormat="1" applyFill="1" applyBorder="1" applyAlignment="1">
      <alignment horizontal="left"/>
    </xf>
    <xf numFmtId="10" fontId="0" fillId="5" borderId="16" xfId="0" applyNumberFormat="1" applyFill="1" applyBorder="1" applyAlignment="1">
      <alignment horizontal="left"/>
    </xf>
    <xf numFmtId="9" fontId="0" fillId="5" borderId="16" xfId="0" applyNumberFormat="1" applyFill="1" applyBorder="1" applyAlignment="1">
      <alignment horizontal="left"/>
    </xf>
    <xf numFmtId="0" fontId="14" fillId="6" borderId="15" xfId="0" applyFont="1" applyFill="1" applyBorder="1" applyAlignment="1">
      <alignment horizontal="left" vertical="top" wrapText="1"/>
    </xf>
    <xf numFmtId="0" fontId="14" fillId="8" borderId="15" xfId="0" applyFont="1" applyFill="1" applyBorder="1" applyAlignment="1">
      <alignment horizontal="left" vertical="top" wrapText="1"/>
    </xf>
    <xf numFmtId="0" fontId="14" fillId="9" borderId="15" xfId="0" applyFont="1" applyFill="1" applyBorder="1" applyAlignment="1">
      <alignment horizontal="left" vertical="top" wrapText="1"/>
    </xf>
    <xf numFmtId="0" fontId="14" fillId="0" borderId="15" xfId="0" applyFont="1" applyBorder="1" applyAlignment="1">
      <alignment horizontal="left" vertical="top" wrapText="1"/>
    </xf>
    <xf numFmtId="0" fontId="0" fillId="6" borderId="16" xfId="0" applyFill="1" applyBorder="1" applyAlignment="1">
      <alignment horizontal="left" vertical="top" wrapText="1"/>
    </xf>
    <xf numFmtId="0" fontId="0" fillId="9" borderId="16" xfId="0" applyFill="1" applyBorder="1" applyAlignment="1">
      <alignment horizontal="left" vertical="top" wrapText="1"/>
    </xf>
    <xf numFmtId="0" fontId="0" fillId="21" borderId="16" xfId="0" applyFill="1" applyBorder="1" applyAlignment="1">
      <alignment horizontal="left" vertical="top" wrapText="1"/>
    </xf>
    <xf numFmtId="0" fontId="0" fillId="6" borderId="17" xfId="0" applyFill="1" applyBorder="1" applyAlignment="1">
      <alignment horizontal="left" vertical="top" wrapText="1"/>
    </xf>
    <xf numFmtId="0" fontId="0" fillId="8" borderId="16" xfId="0" applyFill="1" applyBorder="1" applyAlignment="1">
      <alignment horizontal="left" vertical="top" wrapText="1"/>
    </xf>
    <xf numFmtId="0" fontId="14" fillId="0" borderId="16" xfId="0" applyFont="1" applyBorder="1" applyAlignment="1">
      <alignment horizontal="left" vertical="top" wrapText="1"/>
    </xf>
    <xf numFmtId="0" fontId="0" fillId="5" borderId="17" xfId="0" applyFill="1" applyBorder="1" applyAlignment="1">
      <alignment horizontal="left" vertical="top" wrapText="1"/>
    </xf>
    <xf numFmtId="0" fontId="67" fillId="5" borderId="16" xfId="0" applyFont="1" applyFill="1" applyBorder="1" applyAlignment="1">
      <alignment horizontal="center" vertical="center"/>
    </xf>
    <xf numFmtId="0" fontId="14" fillId="6" borderId="15" xfId="0" applyFont="1" applyFill="1" applyBorder="1" applyAlignment="1">
      <alignment horizontal="center" vertical="top" wrapText="1"/>
    </xf>
    <xf numFmtId="0" fontId="14" fillId="8" borderId="15" xfId="0" applyFont="1" applyFill="1" applyBorder="1" applyAlignment="1">
      <alignment horizontal="center" vertical="top" wrapText="1"/>
    </xf>
    <xf numFmtId="0" fontId="14" fillId="9" borderId="15" xfId="0" applyFont="1" applyFill="1" applyBorder="1" applyAlignment="1">
      <alignment horizontal="center" vertical="top" wrapText="1"/>
    </xf>
    <xf numFmtId="1" fontId="8" fillId="5" borderId="16" xfId="0" applyNumberFormat="1" applyFont="1" applyFill="1" applyBorder="1" applyAlignment="1">
      <alignment horizontal="right"/>
    </xf>
    <xf numFmtId="0" fontId="22" fillId="5" borderId="0" xfId="0" applyFont="1" applyFill="1" applyAlignment="1">
      <alignment horizontal="center"/>
    </xf>
    <xf numFmtId="0" fontId="14" fillId="5" borderId="5" xfId="0" applyFont="1" applyFill="1" applyBorder="1" applyAlignment="1">
      <alignment wrapText="1"/>
    </xf>
    <xf numFmtId="0" fontId="14" fillId="5" borderId="6" xfId="0" applyFont="1" applyFill="1" applyBorder="1" applyAlignment="1">
      <alignment wrapText="1"/>
    </xf>
    <xf numFmtId="0" fontId="14" fillId="5" borderId="7" xfId="0" applyFont="1" applyFill="1" applyBorder="1" applyAlignment="1">
      <alignment wrapText="1"/>
    </xf>
    <xf numFmtId="0" fontId="14" fillId="6" borderId="5" xfId="0" applyFont="1" applyFill="1" applyBorder="1"/>
    <xf numFmtId="0" fontId="14" fillId="6" borderId="6" xfId="0" applyFont="1" applyFill="1" applyBorder="1"/>
    <xf numFmtId="0" fontId="14" fillId="6" borderId="7" xfId="0" applyFont="1" applyFill="1" applyBorder="1"/>
    <xf numFmtId="0" fontId="14" fillId="9" borderId="5" xfId="0" applyFont="1" applyFill="1" applyBorder="1"/>
    <xf numFmtId="0" fontId="14" fillId="9" borderId="6" xfId="0" applyFont="1" applyFill="1" applyBorder="1"/>
    <xf numFmtId="0" fontId="14" fillId="9" borderId="7" xfId="0" applyFont="1" applyFill="1" applyBorder="1"/>
    <xf numFmtId="0" fontId="23" fillId="8" borderId="5" xfId="0" applyFont="1" applyFill="1" applyBorder="1" applyAlignment="1">
      <alignment wrapText="1"/>
    </xf>
    <xf numFmtId="0" fontId="23" fillId="8" borderId="6" xfId="0" applyFont="1" applyFill="1" applyBorder="1" applyAlignment="1">
      <alignment wrapText="1"/>
    </xf>
    <xf numFmtId="0" fontId="23" fillId="8" borderId="7" xfId="0" applyFont="1" applyFill="1" applyBorder="1" applyAlignment="1">
      <alignment wrapText="1"/>
    </xf>
    <xf numFmtId="0" fontId="14" fillId="8" borderId="5" xfId="0" applyFont="1" applyFill="1" applyBorder="1"/>
    <xf numFmtId="0" fontId="14" fillId="8" borderId="6" xfId="0" applyFont="1" applyFill="1" applyBorder="1"/>
    <xf numFmtId="0" fontId="14" fillId="8" borderId="7" xfId="0" applyFont="1" applyFill="1" applyBorder="1"/>
    <xf numFmtId="0" fontId="23" fillId="8" borderId="5" xfId="0" applyFont="1" applyFill="1" applyBorder="1"/>
    <xf numFmtId="0" fontId="23" fillId="8" borderId="6" xfId="0" applyFont="1" applyFill="1" applyBorder="1"/>
    <xf numFmtId="0" fontId="23" fillId="8" borderId="7" xfId="0" applyFont="1" applyFill="1" applyBorder="1"/>
    <xf numFmtId="0" fontId="22" fillId="5" borderId="8" xfId="0" applyFont="1" applyFill="1" applyBorder="1"/>
    <xf numFmtId="0" fontId="22" fillId="5" borderId="9" xfId="0" applyFont="1" applyFill="1" applyBorder="1"/>
    <xf numFmtId="0" fontId="22" fillId="5" borderId="10" xfId="0" applyFont="1" applyFill="1" applyBorder="1"/>
    <xf numFmtId="0" fontId="14" fillId="5" borderId="14" xfId="0" applyFont="1" applyFill="1" applyBorder="1"/>
    <xf numFmtId="0" fontId="23" fillId="5" borderId="6" xfId="0" applyFont="1" applyFill="1" applyBorder="1" applyAlignment="1">
      <alignment wrapText="1"/>
    </xf>
    <xf numFmtId="0" fontId="23" fillId="5" borderId="7" xfId="0" applyFont="1" applyFill="1" applyBorder="1" applyAlignment="1">
      <alignment wrapText="1"/>
    </xf>
    <xf numFmtId="0" fontId="14" fillId="5" borderId="4" xfId="0" applyFont="1" applyFill="1" applyBorder="1" applyAlignment="1">
      <alignment horizontal="right" vertical="center"/>
    </xf>
    <xf numFmtId="0" fontId="14" fillId="5" borderId="15" xfId="0" applyFont="1" applyFill="1" applyBorder="1" applyAlignment="1">
      <alignment horizontal="right" vertical="center"/>
    </xf>
    <xf numFmtId="0" fontId="14" fillId="5" borderId="16" xfId="0" applyFont="1" applyFill="1" applyBorder="1" applyAlignment="1">
      <alignment horizontal="right" vertical="center"/>
    </xf>
    <xf numFmtId="0" fontId="23" fillId="5" borderId="8" xfId="0" applyFont="1" applyFill="1" applyBorder="1" applyAlignment="1">
      <alignment horizontal="right" vertical="center"/>
    </xf>
    <xf numFmtId="0" fontId="23" fillId="5" borderId="11" xfId="0" applyFont="1" applyFill="1" applyBorder="1" applyAlignment="1">
      <alignment horizontal="right" vertical="center"/>
    </xf>
    <xf numFmtId="0" fontId="23" fillId="5" borderId="13" xfId="0" applyFont="1" applyFill="1" applyBorder="1" applyAlignment="1">
      <alignment horizontal="right" vertical="center"/>
    </xf>
    <xf numFmtId="0" fontId="23" fillId="5" borderId="8" xfId="0" applyFont="1" applyFill="1" applyBorder="1" applyAlignment="1">
      <alignment horizontal="right"/>
    </xf>
    <xf numFmtId="0" fontId="23" fillId="5" borderId="11" xfId="0" applyFont="1" applyFill="1" applyBorder="1" applyAlignment="1">
      <alignment horizontal="right"/>
    </xf>
    <xf numFmtId="0" fontId="8" fillId="5" borderId="16" xfId="0" applyFont="1" applyFill="1" applyBorder="1" applyAlignment="1">
      <alignment horizontal="right" vertical="top" wrapText="1"/>
    </xf>
    <xf numFmtId="0" fontId="67" fillId="0" borderId="46" xfId="0" applyFont="1" applyBorder="1" applyAlignment="1">
      <alignment horizontal="left" vertical="top" wrapText="1"/>
    </xf>
    <xf numFmtId="49" fontId="8" fillId="5" borderId="16" xfId="0" applyNumberFormat="1" applyFont="1" applyFill="1" applyBorder="1" applyAlignment="1">
      <alignment horizontal="left" vertical="top" wrapText="1"/>
    </xf>
    <xf numFmtId="0" fontId="0" fillId="5" borderId="10" xfId="0" applyFill="1" applyBorder="1" applyAlignment="1">
      <alignment wrapText="1"/>
    </xf>
    <xf numFmtId="0" fontId="0" fillId="6" borderId="12" xfId="2" applyNumberFormat="1" applyFont="1" applyFill="1" applyBorder="1" applyAlignment="1">
      <alignment wrapText="1"/>
    </xf>
    <xf numFmtId="0" fontId="0" fillId="8" borderId="12" xfId="2" applyNumberFormat="1" applyFont="1" applyFill="1" applyBorder="1" applyAlignment="1">
      <alignment wrapText="1"/>
    </xf>
    <xf numFmtId="0" fontId="0" fillId="9" borderId="12" xfId="2" applyNumberFormat="1" applyFont="1" applyFill="1" applyBorder="1" applyAlignment="1">
      <alignment wrapText="1"/>
    </xf>
    <xf numFmtId="0" fontId="0" fillId="13" borderId="12" xfId="2" applyNumberFormat="1" applyFont="1" applyFill="1" applyBorder="1" applyAlignment="1">
      <alignment wrapText="1"/>
    </xf>
    <xf numFmtId="0" fontId="0" fillId="13" borderId="14" xfId="2" applyNumberFormat="1" applyFont="1" applyFill="1" applyBorder="1" applyAlignment="1">
      <alignment wrapText="1"/>
    </xf>
    <xf numFmtId="165" fontId="8" fillId="5" borderId="16" xfId="0" applyNumberFormat="1" applyFont="1" applyFill="1" applyBorder="1" applyAlignment="1">
      <alignment horizontal="right"/>
    </xf>
    <xf numFmtId="0" fontId="8" fillId="6" borderId="16" xfId="0" applyFont="1" applyFill="1" applyBorder="1"/>
    <xf numFmtId="0" fontId="8" fillId="6" borderId="16" xfId="0" applyFont="1" applyFill="1" applyBorder="1" applyAlignment="1">
      <alignment horizontal="left"/>
    </xf>
    <xf numFmtId="0" fontId="8" fillId="21" borderId="16" xfId="0" applyFont="1" applyFill="1" applyBorder="1" applyAlignment="1">
      <alignment horizontal="right"/>
    </xf>
    <xf numFmtId="0" fontId="8" fillId="21" borderId="16" xfId="0" applyFont="1" applyFill="1" applyBorder="1" applyAlignment="1">
      <alignment vertical="top" wrapText="1"/>
    </xf>
    <xf numFmtId="0" fontId="8" fillId="21" borderId="16" xfId="0" applyFont="1" applyFill="1" applyBorder="1" applyAlignment="1">
      <alignment wrapText="1"/>
    </xf>
    <xf numFmtId="0" fontId="0" fillId="21" borderId="28" xfId="0" applyFill="1" applyBorder="1" applyAlignment="1">
      <alignment horizontal="left" vertical="top" wrapText="1"/>
    </xf>
    <xf numFmtId="0" fontId="0" fillId="21" borderId="46" xfId="0" applyFill="1" applyBorder="1" applyAlignment="1">
      <alignment horizontal="left" vertical="top" wrapText="1"/>
    </xf>
    <xf numFmtId="0" fontId="0" fillId="21" borderId="12" xfId="0" applyFill="1" applyBorder="1" applyAlignment="1">
      <alignment horizontal="left" vertical="top" wrapText="1"/>
    </xf>
    <xf numFmtId="0" fontId="97" fillId="21" borderId="16" xfId="0" applyFont="1" applyFill="1" applyBorder="1" applyAlignment="1">
      <alignment horizontal="right"/>
    </xf>
    <xf numFmtId="0" fontId="8" fillId="21" borderId="16" xfId="0" applyFont="1" applyFill="1" applyBorder="1"/>
    <xf numFmtId="0" fontId="23" fillId="6" borderId="15" xfId="0" applyFont="1" applyFill="1" applyBorder="1"/>
    <xf numFmtId="0" fontId="8" fillId="6" borderId="16" xfId="0" applyFont="1" applyFill="1" applyBorder="1" applyAlignment="1">
      <alignment vertical="top"/>
    </xf>
    <xf numFmtId="0" fontId="0" fillId="6" borderId="28" xfId="0" applyFill="1" applyBorder="1" applyAlignment="1">
      <alignment horizontal="left" vertical="top"/>
    </xf>
    <xf numFmtId="0" fontId="0" fillId="6" borderId="46" xfId="0" applyFill="1" applyBorder="1" applyAlignment="1">
      <alignment horizontal="left" vertical="top"/>
    </xf>
    <xf numFmtId="0" fontId="0" fillId="6" borderId="12" xfId="0" applyFill="1" applyBorder="1" applyAlignment="1">
      <alignment horizontal="left" vertical="top"/>
    </xf>
    <xf numFmtId="0" fontId="8" fillId="13" borderId="16" xfId="0" applyFont="1" applyFill="1" applyBorder="1" applyAlignment="1">
      <alignment vertical="top"/>
    </xf>
    <xf numFmtId="0" fontId="0" fillId="13" borderId="46" xfId="0" applyFill="1" applyBorder="1" applyAlignment="1">
      <alignment horizontal="left" vertical="top"/>
    </xf>
    <xf numFmtId="0" fontId="0" fillId="13" borderId="12" xfId="0" applyFill="1" applyBorder="1" applyAlignment="1">
      <alignment horizontal="left" vertical="top"/>
    </xf>
    <xf numFmtId="0" fontId="23" fillId="6" borderId="5" xfId="0" applyFont="1" applyFill="1" applyBorder="1"/>
    <xf numFmtId="0" fontId="8" fillId="0" borderId="12" xfId="0" applyFont="1" applyBorder="1"/>
    <xf numFmtId="0" fontId="8" fillId="6" borderId="28" xfId="0" applyFont="1" applyFill="1" applyBorder="1" applyAlignment="1">
      <alignment vertical="top"/>
    </xf>
    <xf numFmtId="0" fontId="8" fillId="6" borderId="31" xfId="0" applyFont="1" applyFill="1" applyBorder="1" applyAlignment="1">
      <alignment vertical="top"/>
    </xf>
    <xf numFmtId="0" fontId="8" fillId="6" borderId="12" xfId="0" applyFont="1" applyFill="1" applyBorder="1" applyAlignment="1">
      <alignment vertical="top"/>
    </xf>
    <xf numFmtId="0" fontId="0" fillId="13" borderId="28" xfId="0" applyFill="1" applyBorder="1" applyAlignment="1">
      <alignment horizontal="left" vertical="top"/>
    </xf>
    <xf numFmtId="0" fontId="8" fillId="8" borderId="16" xfId="0" applyFont="1" applyFill="1" applyBorder="1" applyAlignment="1">
      <alignment vertical="top"/>
    </xf>
    <xf numFmtId="0" fontId="0" fillId="8" borderId="28" xfId="0" applyFill="1" applyBorder="1" applyAlignment="1">
      <alignment horizontal="left" vertical="top"/>
    </xf>
    <xf numFmtId="0" fontId="0" fillId="8" borderId="46" xfId="0" applyFill="1" applyBorder="1" applyAlignment="1">
      <alignment horizontal="left" vertical="top"/>
    </xf>
    <xf numFmtId="0" fontId="0" fillId="8" borderId="45" xfId="0" applyFill="1" applyBorder="1" applyAlignment="1">
      <alignment horizontal="left" vertical="top"/>
    </xf>
    <xf numFmtId="0" fontId="0" fillId="8" borderId="12" xfId="0" applyFill="1" applyBorder="1" applyAlignment="1">
      <alignment horizontal="left" vertical="top"/>
    </xf>
    <xf numFmtId="0" fontId="0" fillId="11" borderId="12" xfId="0" applyFill="1" applyBorder="1"/>
    <xf numFmtId="0" fontId="14" fillId="9" borderId="5" xfId="0" applyFont="1" applyFill="1" applyBorder="1" applyAlignment="1">
      <alignment horizontal="left"/>
    </xf>
    <xf numFmtId="0" fontId="14" fillId="9" borderId="6" xfId="0" applyFont="1" applyFill="1" applyBorder="1" applyAlignment="1">
      <alignment horizontal="left"/>
    </xf>
    <xf numFmtId="0" fontId="14" fillId="9" borderId="7" xfId="0" applyFont="1" applyFill="1" applyBorder="1" applyAlignment="1">
      <alignment horizontal="left"/>
    </xf>
    <xf numFmtId="0" fontId="0" fillId="8" borderId="17" xfId="0" applyFill="1" applyBorder="1" applyAlignment="1">
      <alignment horizontal="left" vertical="top" wrapText="1"/>
    </xf>
    <xf numFmtId="0" fontId="0" fillId="11" borderId="1" xfId="0" applyFill="1" applyBorder="1" applyAlignment="1">
      <alignment horizontal="left" vertical="top" wrapText="1"/>
    </xf>
    <xf numFmtId="0" fontId="0" fillId="8" borderId="51" xfId="0" applyFill="1" applyBorder="1" applyAlignment="1">
      <alignment horizontal="left" vertical="top" wrapText="1"/>
    </xf>
    <xf numFmtId="0" fontId="14" fillId="9" borderId="8" xfId="0" applyFont="1" applyFill="1" applyBorder="1"/>
    <xf numFmtId="0" fontId="14" fillId="9" borderId="9" xfId="0" applyFont="1" applyFill="1" applyBorder="1"/>
    <xf numFmtId="0" fontId="14" fillId="9" borderId="10" xfId="0" applyFont="1" applyFill="1" applyBorder="1"/>
    <xf numFmtId="0" fontId="14" fillId="9" borderId="8" xfId="0" applyFont="1" applyFill="1" applyBorder="1" applyAlignment="1">
      <alignment horizontal="left"/>
    </xf>
    <xf numFmtId="0" fontId="14" fillId="9" borderId="9" xfId="0" applyFont="1" applyFill="1" applyBorder="1" applyAlignment="1">
      <alignment horizontal="left"/>
    </xf>
    <xf numFmtId="0" fontId="14" fillId="9" borderId="10" xfId="0" applyFont="1" applyFill="1" applyBorder="1" applyAlignment="1">
      <alignment horizontal="left"/>
    </xf>
    <xf numFmtId="0" fontId="8" fillId="8" borderId="28" xfId="0" applyFont="1" applyFill="1" applyBorder="1" applyAlignment="1">
      <alignment vertical="top" wrapText="1"/>
    </xf>
    <xf numFmtId="0" fontId="8" fillId="8" borderId="31" xfId="0" applyFont="1" applyFill="1" applyBorder="1" applyAlignment="1">
      <alignment vertical="top" wrapText="1"/>
    </xf>
    <xf numFmtId="0" fontId="8" fillId="8" borderId="12" xfId="0" applyFont="1" applyFill="1" applyBorder="1" applyAlignment="1">
      <alignment vertical="top" wrapText="1"/>
    </xf>
    <xf numFmtId="0" fontId="76" fillId="8" borderId="28" xfId="0" applyFont="1" applyFill="1" applyBorder="1" applyAlignment="1">
      <alignment vertical="top"/>
    </xf>
    <xf numFmtId="0" fontId="8" fillId="8" borderId="28" xfId="0" applyFont="1" applyFill="1" applyBorder="1" applyAlignment="1">
      <alignment vertical="top"/>
    </xf>
    <xf numFmtId="0" fontId="8" fillId="0" borderId="16" xfId="0" applyFont="1" applyBorder="1" applyAlignment="1">
      <alignment vertical="top" wrapText="1"/>
    </xf>
    <xf numFmtId="0" fontId="8" fillId="0" borderId="12" xfId="0" applyFont="1" applyBorder="1" applyAlignment="1">
      <alignment vertical="center"/>
    </xf>
    <xf numFmtId="0" fontId="8" fillId="0" borderId="16" xfId="0" applyFont="1" applyBorder="1"/>
    <xf numFmtId="0" fontId="103" fillId="5" borderId="0" xfId="0" applyFont="1" applyFill="1"/>
    <xf numFmtId="0" fontId="104" fillId="5" borderId="0" xfId="0" applyFont="1" applyFill="1"/>
    <xf numFmtId="0" fontId="35" fillId="5" borderId="0" xfId="0" applyFont="1" applyFill="1" applyAlignment="1">
      <alignment horizontal="center"/>
    </xf>
    <xf numFmtId="0" fontId="85" fillId="5" borderId="0" xfId="0" applyFont="1" applyFill="1" applyProtection="1">
      <protection locked="0"/>
    </xf>
    <xf numFmtId="0" fontId="8" fillId="0" borderId="0" xfId="0" applyFont="1" applyAlignment="1">
      <alignment horizontal="left" vertical="top"/>
    </xf>
    <xf numFmtId="0" fontId="8" fillId="0" borderId="0" xfId="0" applyFont="1" applyAlignment="1">
      <alignment horizontal="right" vertical="top"/>
    </xf>
    <xf numFmtId="0" fontId="0" fillId="5" borderId="0" xfId="0" applyFill="1" applyAlignment="1">
      <alignment horizontal="center" wrapText="1"/>
    </xf>
    <xf numFmtId="0" fontId="106" fillId="0" borderId="0" xfId="0" applyFont="1"/>
    <xf numFmtId="164" fontId="106" fillId="0" borderId="0" xfId="0" applyNumberFormat="1" applyFont="1" applyAlignment="1" applyProtection="1">
      <alignment horizontal="right" vertical="top"/>
      <protection hidden="1"/>
    </xf>
    <xf numFmtId="0" fontId="106" fillId="0" borderId="0" xfId="0" applyFont="1" applyAlignment="1">
      <alignment horizontal="left" vertical="top"/>
    </xf>
    <xf numFmtId="0" fontId="106" fillId="0" borderId="0" xfId="0" applyFont="1" applyAlignment="1">
      <alignment horizontal="left" vertical="top" wrapText="1"/>
    </xf>
    <xf numFmtId="0" fontId="106" fillId="0" borderId="0" xfId="0" applyFont="1" applyAlignment="1" applyProtection="1">
      <alignment horizontal="left"/>
      <protection locked="0"/>
    </xf>
    <xf numFmtId="0" fontId="106" fillId="0" borderId="0" xfId="0" applyFont="1" applyAlignment="1">
      <alignment horizontal="right" vertical="top"/>
    </xf>
    <xf numFmtId="0" fontId="106" fillId="0" borderId="0" xfId="0" applyFont="1" applyProtection="1">
      <protection locked="0"/>
    </xf>
    <xf numFmtId="0" fontId="106" fillId="0" borderId="0" xfId="1" applyFont="1" applyFill="1" applyBorder="1" applyAlignment="1" applyProtection="1">
      <alignment horizontal="right" vertical="top" wrapText="1"/>
    </xf>
    <xf numFmtId="164" fontId="0" fillId="0" borderId="0" xfId="0" applyNumberFormat="1" applyAlignment="1" applyProtection="1">
      <alignment horizontal="right" vertical="top"/>
      <protection hidden="1"/>
    </xf>
    <xf numFmtId="0" fontId="0" fillId="0" borderId="0" xfId="0" applyAlignment="1" applyProtection="1">
      <alignment horizontal="left" vertical="top"/>
      <protection locked="0"/>
    </xf>
    <xf numFmtId="164" fontId="0" fillId="0" borderId="0" xfId="0" applyNumberFormat="1" applyAlignment="1" applyProtection="1">
      <alignment horizontal="right"/>
      <protection hidden="1"/>
    </xf>
    <xf numFmtId="0" fontId="0" fillId="0" borderId="0" xfId="0" applyAlignment="1">
      <alignment horizontal="left" vertical="top" wrapText="1"/>
    </xf>
    <xf numFmtId="0" fontId="0" fillId="0" borderId="0" xfId="0" applyAlignment="1" applyProtection="1">
      <alignment horizontal="left"/>
      <protection locked="0"/>
    </xf>
    <xf numFmtId="0" fontId="85" fillId="5" borderId="0" xfId="0" applyFont="1" applyFill="1"/>
    <xf numFmtId="0" fontId="67" fillId="9" borderId="16" xfId="0" applyFont="1" applyFill="1" applyBorder="1" applyAlignment="1">
      <alignment horizontal="right"/>
    </xf>
    <xf numFmtId="10" fontId="14" fillId="5" borderId="5" xfId="0" applyNumberFormat="1" applyFont="1" applyFill="1" applyBorder="1" applyAlignment="1">
      <alignment wrapText="1"/>
    </xf>
    <xf numFmtId="10" fontId="14" fillId="5" borderId="6" xfId="0" applyNumberFormat="1" applyFont="1" applyFill="1" applyBorder="1" applyAlignment="1">
      <alignment wrapText="1"/>
    </xf>
    <xf numFmtId="10" fontId="14" fillId="5" borderId="7" xfId="0" applyNumberFormat="1" applyFont="1" applyFill="1" applyBorder="1" applyAlignment="1">
      <alignment wrapText="1"/>
    </xf>
    <xf numFmtId="0" fontId="23" fillId="5" borderId="5" xfId="0" applyFont="1" applyFill="1" applyBorder="1"/>
    <xf numFmtId="0" fontId="23" fillId="5" borderId="6" xfId="0" applyFont="1" applyFill="1" applyBorder="1"/>
    <xf numFmtId="0" fontId="23" fillId="5" borderId="7" xfId="0" applyFont="1" applyFill="1" applyBorder="1"/>
    <xf numFmtId="0" fontId="8" fillId="21" borderId="12" xfId="0" applyFont="1" applyFill="1" applyBorder="1"/>
    <xf numFmtId="0" fontId="20" fillId="6" borderId="8" xfId="2" applyNumberFormat="1" applyFont="1" applyFill="1" applyBorder="1" applyAlignment="1">
      <alignment horizontal="left" wrapText="1"/>
    </xf>
    <xf numFmtId="0" fontId="20" fillId="6" borderId="10" xfId="2" applyNumberFormat="1" applyFont="1" applyFill="1" applyBorder="1" applyAlignment="1"/>
    <xf numFmtId="0" fontId="0" fillId="21" borderId="11" xfId="0" applyFill="1" applyBorder="1"/>
    <xf numFmtId="0" fontId="8" fillId="21" borderId="11" xfId="0" applyFont="1" applyFill="1" applyBorder="1"/>
    <xf numFmtId="2" fontId="20" fillId="21" borderId="0" xfId="2" applyNumberFormat="1" applyFont="1" applyFill="1" applyBorder="1" applyAlignment="1">
      <alignment horizontal="center"/>
    </xf>
    <xf numFmtId="0" fontId="0" fillId="21" borderId="11" xfId="0" applyFill="1" applyBorder="1" applyAlignment="1">
      <alignment horizontal="center" vertical="center"/>
    </xf>
    <xf numFmtId="10" fontId="0" fillId="21" borderId="12" xfId="0" applyNumberFormat="1" applyFill="1" applyBorder="1" applyAlignment="1">
      <alignment horizontal="center" wrapText="1"/>
    </xf>
    <xf numFmtId="10" fontId="0" fillId="21" borderId="10" xfId="0" applyNumberFormat="1" applyFill="1" applyBorder="1" applyAlignment="1">
      <alignment horizontal="center" wrapText="1"/>
    </xf>
    <xf numFmtId="0" fontId="0" fillId="21" borderId="0" xfId="0" applyFill="1"/>
    <xf numFmtId="0" fontId="67" fillId="6" borderId="9" xfId="0" applyFont="1" applyFill="1" applyBorder="1" applyAlignment="1">
      <alignment horizontal="center" wrapText="1"/>
    </xf>
    <xf numFmtId="0" fontId="20" fillId="6" borderId="8" xfId="2" applyNumberFormat="1" applyFont="1" applyFill="1" applyBorder="1" applyAlignment="1">
      <alignment wrapText="1"/>
    </xf>
    <xf numFmtId="0" fontId="20" fillId="6" borderId="10" xfId="2" applyNumberFormat="1" applyFont="1" applyFill="1" applyBorder="1" applyAlignment="1">
      <alignment wrapText="1"/>
    </xf>
    <xf numFmtId="0" fontId="20" fillId="6" borderId="11" xfId="2" applyNumberFormat="1" applyFont="1" applyFill="1" applyBorder="1" applyAlignment="1">
      <alignment wrapText="1"/>
    </xf>
    <xf numFmtId="0" fontId="8" fillId="6" borderId="11" xfId="0" applyFont="1" applyFill="1" applyBorder="1"/>
    <xf numFmtId="0" fontId="8" fillId="6" borderId="12" xfId="0" applyFont="1" applyFill="1" applyBorder="1"/>
    <xf numFmtId="49" fontId="8" fillId="6" borderId="11" xfId="0" applyNumberFormat="1" applyFont="1" applyFill="1" applyBorder="1" applyAlignment="1">
      <alignment horizontal="left"/>
    </xf>
    <xf numFmtId="0" fontId="0" fillId="6" borderId="0" xfId="0" applyFill="1" applyAlignment="1">
      <alignment horizontal="center"/>
    </xf>
    <xf numFmtId="10" fontId="8" fillId="6" borderId="0" xfId="0" applyNumberFormat="1" applyFont="1" applyFill="1" applyAlignment="1">
      <alignment horizontal="center" wrapText="1"/>
    </xf>
    <xf numFmtId="10" fontId="0" fillId="6" borderId="0" xfId="0" applyNumberFormat="1" applyFill="1" applyAlignment="1">
      <alignment horizontal="center" wrapText="1"/>
    </xf>
    <xf numFmtId="0" fontId="0" fillId="21" borderId="0" xfId="0" applyFill="1" applyAlignment="1">
      <alignment horizontal="center"/>
    </xf>
    <xf numFmtId="2" fontId="20" fillId="5" borderId="11" xfId="2" applyNumberFormat="1" applyFont="1" applyFill="1" applyBorder="1" applyAlignment="1">
      <alignment horizontal="center"/>
    </xf>
    <xf numFmtId="2" fontId="20" fillId="5" borderId="13" xfId="2" applyNumberFormat="1" applyFont="1" applyFill="1" applyBorder="1" applyAlignment="1">
      <alignment horizontal="center"/>
    </xf>
    <xf numFmtId="0" fontId="0" fillId="6" borderId="11" xfId="0" applyFill="1" applyBorder="1"/>
    <xf numFmtId="10" fontId="0" fillId="6" borderId="12" xfId="0" applyNumberFormat="1" applyFill="1" applyBorder="1" applyAlignment="1">
      <alignment horizontal="center" wrapText="1"/>
    </xf>
    <xf numFmtId="49" fontId="20" fillId="6" borderId="8" xfId="2" applyNumberFormat="1" applyFont="1" applyFill="1" applyBorder="1" applyAlignment="1">
      <alignment horizontal="left" wrapText="1"/>
    </xf>
    <xf numFmtId="0" fontId="0" fillId="6" borderId="0" xfId="0" applyFill="1" applyAlignment="1">
      <alignment horizontal="center" wrapText="1"/>
    </xf>
    <xf numFmtId="10" fontId="8" fillId="6" borderId="0" xfId="0" applyNumberFormat="1" applyFont="1" applyFill="1" applyAlignment="1">
      <alignment horizontal="center"/>
    </xf>
    <xf numFmtId="0" fontId="67" fillId="6" borderId="0" xfId="0" applyFont="1" applyFill="1" applyAlignment="1">
      <alignment horizontal="center" wrapText="1"/>
    </xf>
    <xf numFmtId="10" fontId="0" fillId="6" borderId="0" xfId="0" applyNumberFormat="1" applyFill="1" applyAlignment="1">
      <alignment horizontal="center"/>
    </xf>
    <xf numFmtId="0" fontId="8" fillId="6" borderId="9" xfId="0" applyFont="1" applyFill="1" applyBorder="1" applyAlignment="1">
      <alignment horizontal="center" wrapText="1"/>
    </xf>
    <xf numFmtId="0" fontId="8" fillId="6" borderId="0" xfId="0" applyFont="1" applyFill="1" applyAlignment="1">
      <alignment horizontal="center" wrapText="1"/>
    </xf>
    <xf numFmtId="0" fontId="0" fillId="21" borderId="12" xfId="0" applyFill="1" applyBorder="1"/>
    <xf numFmtId="0" fontId="67" fillId="5" borderId="0" xfId="0" applyFont="1" applyFill="1" applyAlignment="1">
      <alignment horizontal="center"/>
    </xf>
    <xf numFmtId="10" fontId="0" fillId="21" borderId="0" xfId="0" applyNumberFormat="1" applyFill="1" applyAlignment="1">
      <alignment horizontal="center" wrapText="1"/>
    </xf>
    <xf numFmtId="0" fontId="67" fillId="5" borderId="0" xfId="0" applyFont="1" applyFill="1" applyAlignment="1">
      <alignment horizontal="left"/>
    </xf>
    <xf numFmtId="0" fontId="36" fillId="5" borderId="0" xfId="0" applyFont="1" applyFill="1" applyAlignment="1">
      <alignment horizontal="center"/>
    </xf>
    <xf numFmtId="10" fontId="36" fillId="5" borderId="0" xfId="0" applyNumberFormat="1" applyFont="1" applyFill="1" applyAlignment="1">
      <alignment horizontal="center" wrapText="1"/>
    </xf>
    <xf numFmtId="0" fontId="8" fillId="8" borderId="10" xfId="0" applyFont="1" applyFill="1" applyBorder="1"/>
    <xf numFmtId="0" fontId="8" fillId="8" borderId="8" xfId="0" applyFont="1" applyFill="1" applyBorder="1"/>
    <xf numFmtId="2" fontId="20" fillId="8" borderId="9" xfId="2" applyNumberFormat="1" applyFont="1" applyFill="1" applyBorder="1" applyAlignment="1">
      <alignment horizontal="center"/>
    </xf>
    <xf numFmtId="0" fontId="0" fillId="8" borderId="9" xfId="0" applyFill="1" applyBorder="1" applyAlignment="1">
      <alignment horizontal="center"/>
    </xf>
    <xf numFmtId="0" fontId="0" fillId="21" borderId="8" xfId="0" applyFill="1" applyBorder="1"/>
    <xf numFmtId="10" fontId="8" fillId="21" borderId="0" xfId="0" applyNumberFormat="1" applyFont="1" applyFill="1" applyAlignment="1">
      <alignment horizontal="center" wrapText="1"/>
    </xf>
    <xf numFmtId="10" fontId="0" fillId="21" borderId="10" xfId="0" applyNumberFormat="1" applyFill="1" applyBorder="1" applyAlignment="1">
      <alignment horizontal="center"/>
    </xf>
    <xf numFmtId="10" fontId="8" fillId="21" borderId="9" xfId="0" applyNumberFormat="1" applyFont="1" applyFill="1" applyBorder="1" applyAlignment="1">
      <alignment horizontal="center" wrapText="1"/>
    </xf>
    <xf numFmtId="2" fontId="20" fillId="8" borderId="9" xfId="2" quotePrefix="1" applyNumberFormat="1" applyFont="1" applyFill="1" applyBorder="1" applyAlignment="1">
      <alignment horizontal="center"/>
    </xf>
    <xf numFmtId="10" fontId="0" fillId="8" borderId="9" xfId="0" applyNumberFormat="1" applyFill="1" applyBorder="1" applyAlignment="1">
      <alignment horizontal="center"/>
    </xf>
    <xf numFmtId="10" fontId="8" fillId="8" borderId="9" xfId="0" applyNumberFormat="1" applyFont="1" applyFill="1" applyBorder="1" applyAlignment="1">
      <alignment horizontal="center" wrapText="1"/>
    </xf>
    <xf numFmtId="0" fontId="8" fillId="8" borderId="8" xfId="0" applyFont="1" applyFill="1" applyBorder="1" applyAlignment="1">
      <alignment horizontal="left"/>
    </xf>
    <xf numFmtId="0" fontId="8" fillId="8" borderId="11" xfId="0" applyFont="1" applyFill="1" applyBorder="1"/>
    <xf numFmtId="10" fontId="0" fillId="8" borderId="0" xfId="0" applyNumberFormat="1" applyFill="1" applyAlignment="1">
      <alignment horizontal="center" wrapText="1"/>
    </xf>
    <xf numFmtId="2" fontId="20" fillId="5" borderId="11" xfId="2" applyNumberFormat="1" applyFont="1" applyFill="1" applyBorder="1" applyAlignment="1">
      <alignment horizontal="center" wrapText="1"/>
    </xf>
    <xf numFmtId="0" fontId="8" fillId="8" borderId="11" xfId="0" applyFont="1" applyFill="1" applyBorder="1" applyAlignment="1">
      <alignment horizontal="left"/>
    </xf>
    <xf numFmtId="2" fontId="0" fillId="5" borderId="1" xfId="0" applyNumberFormat="1" applyFill="1" applyBorder="1" applyAlignment="1">
      <alignment horizontal="center"/>
    </xf>
    <xf numFmtId="0" fontId="8" fillId="8" borderId="5" xfId="0" applyFont="1" applyFill="1" applyBorder="1" applyAlignment="1">
      <alignment horizontal="left"/>
    </xf>
    <xf numFmtId="0" fontId="8" fillId="8" borderId="7" xfId="0" applyFont="1" applyFill="1" applyBorder="1"/>
    <xf numFmtId="0" fontId="8" fillId="8" borderId="5" xfId="0" applyFont="1" applyFill="1" applyBorder="1"/>
    <xf numFmtId="2" fontId="20" fillId="8" borderId="6" xfId="2" applyNumberFormat="1" applyFont="1" applyFill="1" applyBorder="1" applyAlignment="1">
      <alignment horizontal="center" wrapText="1"/>
    </xf>
    <xf numFmtId="2" fontId="0" fillId="8" borderId="6" xfId="2" quotePrefix="1" applyNumberFormat="1" applyFont="1" applyFill="1" applyBorder="1" applyAlignment="1">
      <alignment horizontal="center" wrapText="1"/>
    </xf>
    <xf numFmtId="0" fontId="0" fillId="8" borderId="6" xfId="0" applyFill="1" applyBorder="1" applyAlignment="1">
      <alignment horizontal="center"/>
    </xf>
    <xf numFmtId="10" fontId="0" fillId="8" borderId="6" xfId="0" applyNumberFormat="1" applyFill="1" applyBorder="1" applyAlignment="1">
      <alignment horizontal="center"/>
    </xf>
    <xf numFmtId="10" fontId="8" fillId="8" borderId="6" xfId="0" applyNumberFormat="1" applyFont="1" applyFill="1" applyBorder="1" applyAlignment="1">
      <alignment horizontal="center" wrapText="1"/>
    </xf>
    <xf numFmtId="10" fontId="0" fillId="8" borderId="6" xfId="0" applyNumberFormat="1" applyFill="1" applyBorder="1" applyAlignment="1">
      <alignment horizontal="center" wrapText="1"/>
    </xf>
    <xf numFmtId="0" fontId="0" fillId="21" borderId="5" xfId="0" applyFill="1" applyBorder="1"/>
    <xf numFmtId="10" fontId="8" fillId="21" borderId="6" xfId="0" applyNumberFormat="1" applyFont="1" applyFill="1" applyBorder="1" applyAlignment="1">
      <alignment horizontal="center" wrapText="1"/>
    </xf>
    <xf numFmtId="10" fontId="0" fillId="21" borderId="7" xfId="0" applyNumberFormat="1" applyFill="1" applyBorder="1" applyAlignment="1">
      <alignment horizontal="center"/>
    </xf>
    <xf numFmtId="10" fontId="0" fillId="9" borderId="6" xfId="0" applyNumberFormat="1" applyFill="1" applyBorder="1" applyAlignment="1">
      <alignment horizontal="left" wrapText="1"/>
    </xf>
    <xf numFmtId="10" fontId="0" fillId="8" borderId="6" xfId="0" applyNumberFormat="1" applyFill="1" applyBorder="1" applyAlignment="1">
      <alignment horizontal="left" wrapText="1"/>
    </xf>
    <xf numFmtId="10" fontId="0" fillId="13" borderId="6" xfId="0" applyNumberFormat="1" applyFill="1" applyBorder="1" applyAlignment="1">
      <alignment horizontal="left" wrapText="1"/>
    </xf>
    <xf numFmtId="10" fontId="0" fillId="6" borderId="7" xfId="0" applyNumberFormat="1" applyFill="1" applyBorder="1" applyAlignment="1">
      <alignment horizontal="left" wrapText="1"/>
    </xf>
    <xf numFmtId="2" fontId="20" fillId="9" borderId="0" xfId="2" applyNumberFormat="1" applyFont="1" applyFill="1" applyBorder="1" applyAlignment="1">
      <alignment horizontal="center"/>
    </xf>
    <xf numFmtId="2" fontId="0" fillId="9" borderId="0" xfId="2" quotePrefix="1" applyNumberFormat="1" applyFont="1" applyFill="1" applyBorder="1" applyAlignment="1">
      <alignment horizontal="center"/>
    </xf>
    <xf numFmtId="0" fontId="0" fillId="9" borderId="0" xfId="0" applyFill="1" applyAlignment="1">
      <alignment horizontal="center"/>
    </xf>
    <xf numFmtId="0" fontId="8" fillId="9" borderId="0" xfId="0" applyFont="1" applyFill="1" applyAlignment="1">
      <alignment horizontal="center" wrapText="1"/>
    </xf>
    <xf numFmtId="10" fontId="0" fillId="9" borderId="0" xfId="0" applyNumberFormat="1" applyFill="1" applyAlignment="1">
      <alignment horizontal="center"/>
    </xf>
    <xf numFmtId="10" fontId="0" fillId="9" borderId="0" xfId="0" applyNumberFormat="1" applyFill="1" applyAlignment="1">
      <alignment horizontal="center" wrapText="1"/>
    </xf>
    <xf numFmtId="0" fontId="20" fillId="9" borderId="8" xfId="2" applyNumberFormat="1" applyFont="1" applyFill="1" applyBorder="1" applyAlignment="1">
      <alignment horizontal="left" wrapText="1"/>
    </xf>
    <xf numFmtId="0" fontId="20" fillId="9" borderId="10" xfId="2" applyNumberFormat="1" applyFont="1" applyFill="1" applyBorder="1" applyAlignment="1"/>
    <xf numFmtId="0" fontId="20" fillId="9" borderId="8" xfId="2" applyNumberFormat="1" applyFont="1" applyFill="1" applyBorder="1" applyAlignment="1">
      <alignment wrapText="1"/>
    </xf>
    <xf numFmtId="0" fontId="20" fillId="9" borderId="10" xfId="2" applyNumberFormat="1" applyFont="1" applyFill="1" applyBorder="1" applyAlignment="1">
      <alignment wrapText="1"/>
    </xf>
    <xf numFmtId="2" fontId="20" fillId="9" borderId="9" xfId="2" applyNumberFormat="1" applyFont="1" applyFill="1" applyBorder="1" applyAlignment="1">
      <alignment horizontal="center"/>
    </xf>
    <xf numFmtId="2" fontId="0" fillId="9" borderId="9" xfId="2" quotePrefix="1" applyNumberFormat="1" applyFont="1" applyFill="1" applyBorder="1" applyAlignment="1">
      <alignment horizontal="center"/>
    </xf>
    <xf numFmtId="0" fontId="0" fillId="9" borderId="9" xfId="0" applyFill="1" applyBorder="1" applyAlignment="1">
      <alignment horizontal="center"/>
    </xf>
    <xf numFmtId="0" fontId="8" fillId="9" borderId="9" xfId="0" applyFont="1" applyFill="1" applyBorder="1" applyAlignment="1">
      <alignment horizontal="center" wrapText="1"/>
    </xf>
    <xf numFmtId="10" fontId="0" fillId="9" borderId="9" xfId="0" applyNumberFormat="1" applyFill="1" applyBorder="1" applyAlignment="1">
      <alignment horizontal="center"/>
    </xf>
    <xf numFmtId="0" fontId="8" fillId="9" borderId="12" xfId="0" applyFont="1" applyFill="1" applyBorder="1"/>
    <xf numFmtId="2" fontId="20" fillId="9" borderId="8" xfId="2" applyNumberFormat="1" applyFont="1" applyFill="1" applyBorder="1" applyAlignment="1">
      <alignment horizontal="center"/>
    </xf>
    <xf numFmtId="10" fontId="8" fillId="9" borderId="9" xfId="0" applyNumberFormat="1" applyFont="1" applyFill="1" applyBorder="1" applyAlignment="1">
      <alignment horizontal="center" wrapText="1"/>
    </xf>
    <xf numFmtId="2" fontId="20" fillId="9" borderId="11" xfId="2" applyNumberFormat="1" applyFont="1" applyFill="1" applyBorder="1" applyAlignment="1">
      <alignment horizontal="center"/>
    </xf>
    <xf numFmtId="0" fontId="0" fillId="9" borderId="11" xfId="0" applyFill="1" applyBorder="1"/>
    <xf numFmtId="10" fontId="0" fillId="9" borderId="12" xfId="0" applyNumberFormat="1" applyFill="1" applyBorder="1" applyAlignment="1">
      <alignment horizontal="center" wrapText="1"/>
    </xf>
    <xf numFmtId="0" fontId="0" fillId="10" borderId="0" xfId="0" applyFill="1" applyAlignment="1">
      <alignment horizontal="center"/>
    </xf>
    <xf numFmtId="0" fontId="20" fillId="9" borderId="11" xfId="2" applyNumberFormat="1" applyFont="1" applyFill="1" applyBorder="1" applyAlignment="1">
      <alignment horizontal="left" wrapText="1"/>
    </xf>
    <xf numFmtId="0" fontId="20" fillId="9" borderId="12" xfId="2" applyNumberFormat="1" applyFont="1" applyFill="1" applyBorder="1" applyAlignment="1"/>
    <xf numFmtId="0" fontId="20" fillId="9" borderId="11" xfId="2" applyNumberFormat="1" applyFont="1" applyFill="1" applyBorder="1" applyAlignment="1">
      <alignment wrapText="1"/>
    </xf>
    <xf numFmtId="0" fontId="20" fillId="9" borderId="12" xfId="2" applyNumberFormat="1" applyFont="1" applyFill="1" applyBorder="1" applyAlignment="1">
      <alignment wrapText="1"/>
    </xf>
    <xf numFmtId="10" fontId="8" fillId="9" borderId="0" xfId="0" applyNumberFormat="1" applyFont="1" applyFill="1" applyAlignment="1">
      <alignment horizontal="center" wrapText="1"/>
    </xf>
    <xf numFmtId="10" fontId="0" fillId="9" borderId="12" xfId="0" applyNumberFormat="1" applyFill="1" applyBorder="1" applyAlignment="1">
      <alignment horizontal="center"/>
    </xf>
    <xf numFmtId="0" fontId="8" fillId="9" borderId="11" xfId="0" applyFont="1" applyFill="1" applyBorder="1"/>
    <xf numFmtId="2" fontId="20" fillId="9" borderId="0" xfId="2" applyNumberFormat="1" applyFont="1" applyFill="1" applyBorder="1" applyAlignment="1">
      <alignment horizontal="center" wrapText="1"/>
    </xf>
    <xf numFmtId="2" fontId="0" fillId="9" borderId="0" xfId="2" quotePrefix="1" applyNumberFormat="1" applyFont="1" applyFill="1" applyBorder="1" applyAlignment="1">
      <alignment horizontal="center" wrapText="1"/>
    </xf>
    <xf numFmtId="0" fontId="0" fillId="9" borderId="12" xfId="0" applyFill="1" applyBorder="1"/>
    <xf numFmtId="10" fontId="0" fillId="9" borderId="10" xfId="0" applyNumberFormat="1" applyFill="1" applyBorder="1" applyAlignment="1">
      <alignment horizontal="center"/>
    </xf>
    <xf numFmtId="10" fontId="8" fillId="21" borderId="12" xfId="0" applyNumberFormat="1" applyFont="1" applyFill="1" applyBorder="1"/>
    <xf numFmtId="0" fontId="5" fillId="0" borderId="57" xfId="0" applyFont="1" applyBorder="1" applyAlignment="1">
      <alignment horizontal="right" vertical="center"/>
    </xf>
    <xf numFmtId="0" fontId="3" fillId="21" borderId="57" xfId="0" applyFont="1" applyFill="1" applyBorder="1" applyAlignment="1">
      <alignment vertical="center"/>
    </xf>
    <xf numFmtId="0" fontId="3" fillId="21" borderId="0" xfId="0" applyFont="1" applyFill="1"/>
    <xf numFmtId="0" fontId="89" fillId="11" borderId="80" xfId="0" quotePrefix="1" applyFont="1" applyFill="1" applyBorder="1" applyAlignment="1">
      <alignment wrapText="1"/>
    </xf>
    <xf numFmtId="0" fontId="3" fillId="0" borderId="81" xfId="0" applyFont="1" applyBorder="1"/>
    <xf numFmtId="0" fontId="0" fillId="0" borderId="81" xfId="0" applyBorder="1"/>
    <xf numFmtId="0" fontId="0" fillId="0" borderId="82" xfId="0" applyBorder="1"/>
    <xf numFmtId="0" fontId="3" fillId="5" borderId="19" xfId="0" applyFont="1" applyFill="1" applyBorder="1" applyAlignment="1">
      <alignment horizontal="right" vertical="center"/>
    </xf>
    <xf numFmtId="0" fontId="5" fillId="0" borderId="24" xfId="0" applyFont="1" applyBorder="1" applyAlignment="1">
      <alignment horizontal="right" vertical="center"/>
    </xf>
    <xf numFmtId="0" fontId="3" fillId="0" borderId="26" xfId="0" applyFont="1" applyBorder="1" applyAlignment="1">
      <alignment vertical="center"/>
    </xf>
    <xf numFmtId="0" fontId="3" fillId="5" borderId="83" xfId="0" applyFont="1" applyFill="1" applyBorder="1" applyAlignment="1">
      <alignment vertical="center"/>
    </xf>
    <xf numFmtId="0" fontId="3" fillId="5" borderId="66" xfId="0" applyFont="1" applyFill="1" applyBorder="1" applyAlignment="1">
      <alignment horizontal="right" vertical="center"/>
    </xf>
    <xf numFmtId="0" fontId="3" fillId="5" borderId="19" xfId="0" applyFont="1" applyFill="1" applyBorder="1" applyAlignment="1">
      <alignment horizontal="right"/>
    </xf>
    <xf numFmtId="0" fontId="0" fillId="0" borderId="84" xfId="0" applyBorder="1"/>
    <xf numFmtId="0" fontId="3" fillId="5" borderId="24" xfId="0" applyFont="1" applyFill="1" applyBorder="1" applyAlignment="1">
      <alignment vertical="center"/>
    </xf>
    <xf numFmtId="0" fontId="3" fillId="5" borderId="67" xfId="0" applyFont="1" applyFill="1" applyBorder="1"/>
    <xf numFmtId="0" fontId="3" fillId="0" borderId="26" xfId="0" applyFont="1" applyBorder="1"/>
    <xf numFmtId="10" fontId="8" fillId="5" borderId="10" xfId="0" applyNumberFormat="1" applyFont="1" applyFill="1" applyBorder="1" applyAlignment="1">
      <alignment horizontal="left" wrapText="1"/>
    </xf>
    <xf numFmtId="10" fontId="8" fillId="5" borderId="12" xfId="0" applyNumberFormat="1" applyFont="1" applyFill="1" applyBorder="1" applyAlignment="1">
      <alignment horizontal="left" wrapText="1"/>
    </xf>
    <xf numFmtId="0" fontId="109" fillId="5" borderId="0" xfId="0" applyFont="1" applyFill="1"/>
    <xf numFmtId="0" fontId="14" fillId="22" borderId="4" xfId="0" applyFont="1" applyFill="1" applyBorder="1" applyAlignment="1">
      <alignment wrapText="1"/>
    </xf>
    <xf numFmtId="0" fontId="0" fillId="6" borderId="8" xfId="0" applyFill="1" applyBorder="1"/>
    <xf numFmtId="0" fontId="0" fillId="6" borderId="9" xfId="0" applyFill="1" applyBorder="1"/>
    <xf numFmtId="0" fontId="0" fillId="9" borderId="8" xfId="0" applyFill="1" applyBorder="1"/>
    <xf numFmtId="0" fontId="0" fillId="9" borderId="9" xfId="0" applyFill="1" applyBorder="1"/>
    <xf numFmtId="0" fontId="0" fillId="6" borderId="16" xfId="0" applyFill="1" applyBorder="1"/>
    <xf numFmtId="0" fontId="0" fillId="8" borderId="16" xfId="0" applyFill="1" applyBorder="1"/>
    <xf numFmtId="0" fontId="0" fillId="9" borderId="16" xfId="0" applyFill="1" applyBorder="1"/>
    <xf numFmtId="0" fontId="8" fillId="9" borderId="17" xfId="0" applyFont="1" applyFill="1" applyBorder="1"/>
    <xf numFmtId="0" fontId="0" fillId="6" borderId="15" xfId="0" applyFill="1" applyBorder="1"/>
    <xf numFmtId="0" fontId="3" fillId="23" borderId="2" xfId="0" applyFont="1" applyFill="1" applyBorder="1" applyAlignment="1">
      <alignment horizontal="right" vertical="center"/>
    </xf>
    <xf numFmtId="0" fontId="2" fillId="5" borderId="19" xfId="0" applyFont="1" applyFill="1" applyBorder="1" applyAlignment="1">
      <alignment vertical="center"/>
    </xf>
    <xf numFmtId="0" fontId="40" fillId="5" borderId="57" xfId="0" applyFont="1" applyFill="1" applyBorder="1" applyAlignment="1">
      <alignment vertical="center"/>
    </xf>
    <xf numFmtId="0" fontId="96" fillId="5" borderId="57" xfId="0" applyFont="1" applyFill="1" applyBorder="1" applyAlignment="1">
      <alignment horizontal="left" vertical="center"/>
    </xf>
    <xf numFmtId="0" fontId="2" fillId="5" borderId="20" xfId="0" applyFont="1" applyFill="1" applyBorder="1" applyAlignment="1">
      <alignment vertical="center"/>
    </xf>
    <xf numFmtId="0" fontId="0" fillId="5" borderId="57" xfId="0" applyFill="1" applyBorder="1" applyAlignment="1">
      <alignment vertical="center"/>
    </xf>
    <xf numFmtId="0" fontId="2" fillId="5" borderId="57" xfId="0" applyFont="1" applyFill="1" applyBorder="1" applyAlignment="1">
      <alignment vertical="center"/>
    </xf>
    <xf numFmtId="0" fontId="3" fillId="19" borderId="85" xfId="0" applyFont="1" applyFill="1" applyBorder="1" applyAlignment="1">
      <alignment horizontal="right" vertical="center"/>
    </xf>
    <xf numFmtId="0" fontId="2" fillId="5" borderId="85" xfId="0" applyFont="1" applyFill="1" applyBorder="1" applyAlignment="1">
      <alignment vertical="center"/>
    </xf>
    <xf numFmtId="0" fontId="0" fillId="5" borderId="85" xfId="0" applyFill="1" applyBorder="1" applyAlignment="1">
      <alignment vertical="center"/>
    </xf>
    <xf numFmtId="0" fontId="3" fillId="23" borderId="85" xfId="0" applyFont="1" applyFill="1" applyBorder="1" applyAlignment="1">
      <alignment horizontal="right" vertical="center"/>
    </xf>
    <xf numFmtId="0" fontId="3" fillId="0" borderId="57" xfId="0" applyFont="1" applyBorder="1" applyAlignment="1">
      <alignment vertical="center"/>
    </xf>
    <xf numFmtId="0" fontId="3" fillId="5" borderId="20" xfId="0" applyFont="1" applyFill="1" applyBorder="1" applyAlignment="1">
      <alignment vertical="center"/>
    </xf>
    <xf numFmtId="0" fontId="0" fillId="0" borderId="85" xfId="0" applyBorder="1" applyAlignment="1">
      <alignment vertical="center"/>
    </xf>
    <xf numFmtId="0" fontId="3" fillId="5" borderId="85" xfId="0" applyFont="1" applyFill="1" applyBorder="1" applyAlignment="1">
      <alignment vertical="center"/>
    </xf>
    <xf numFmtId="49" fontId="3" fillId="19" borderId="85" xfId="0" applyNumberFormat="1" applyFont="1" applyFill="1" applyBorder="1" applyAlignment="1">
      <alignment horizontal="right" vertical="center"/>
    </xf>
    <xf numFmtId="0" fontId="3" fillId="11" borderId="85" xfId="0" applyFont="1" applyFill="1" applyBorder="1" applyAlignment="1">
      <alignment horizontal="right" vertical="center"/>
    </xf>
    <xf numFmtId="0" fontId="27" fillId="0" borderId="85" xfId="0" applyFont="1" applyBorder="1" applyAlignment="1">
      <alignment horizontal="left" vertical="center"/>
    </xf>
    <xf numFmtId="0" fontId="40" fillId="5" borderId="21" xfId="0" applyFont="1" applyFill="1" applyBorder="1" applyAlignment="1">
      <alignment vertical="center"/>
    </xf>
    <xf numFmtId="0" fontId="96" fillId="5" borderId="21" xfId="0" applyFont="1" applyFill="1" applyBorder="1" applyAlignment="1">
      <alignment vertical="center"/>
    </xf>
    <xf numFmtId="0" fontId="1" fillId="5" borderId="57" xfId="0" applyFont="1" applyFill="1" applyBorder="1" applyAlignment="1">
      <alignment vertical="center"/>
    </xf>
    <xf numFmtId="0" fontId="16" fillId="5" borderId="57" xfId="0" applyFont="1" applyFill="1" applyBorder="1" applyAlignment="1">
      <alignment horizontal="left" vertical="center"/>
    </xf>
    <xf numFmtId="0" fontId="0" fillId="5" borderId="85" xfId="0" applyFill="1" applyBorder="1"/>
    <xf numFmtId="0" fontId="85" fillId="5" borderId="85" xfId="0" applyFont="1" applyFill="1" applyBorder="1" applyAlignment="1">
      <alignment vertical="center"/>
    </xf>
    <xf numFmtId="0" fontId="0" fillId="25" borderId="0" xfId="0" applyFill="1"/>
    <xf numFmtId="0" fontId="0" fillId="26" borderId="0" xfId="0" applyFill="1"/>
    <xf numFmtId="0" fontId="0" fillId="20" borderId="0" xfId="0" applyFill="1"/>
    <xf numFmtId="164" fontId="0" fillId="20" borderId="0" xfId="0" applyNumberFormat="1" applyFill="1" applyAlignment="1" applyProtection="1">
      <alignment horizontal="right" vertical="top"/>
      <protection hidden="1"/>
    </xf>
    <xf numFmtId="0" fontId="0" fillId="20" borderId="0" xfId="0" applyFill="1" applyAlignment="1">
      <alignment horizontal="left" vertical="top"/>
    </xf>
    <xf numFmtId="0" fontId="8" fillId="20" borderId="0" xfId="0" applyFont="1" applyFill="1" applyAlignment="1">
      <alignment horizontal="left"/>
    </xf>
    <xf numFmtId="0" fontId="8" fillId="20" borderId="0" xfId="0" applyFont="1" applyFill="1"/>
    <xf numFmtId="0" fontId="8" fillId="20" borderId="0" xfId="0" applyFont="1" applyFill="1" applyAlignment="1">
      <alignment horizontal="right"/>
    </xf>
    <xf numFmtId="164" fontId="6" fillId="20" borderId="0" xfId="0" applyNumberFormat="1" applyFont="1" applyFill="1" applyAlignment="1" applyProtection="1">
      <alignment horizontal="right" vertical="top"/>
      <protection hidden="1"/>
    </xf>
    <xf numFmtId="0" fontId="6" fillId="20" borderId="0" xfId="0" applyFont="1" applyFill="1" applyAlignment="1">
      <alignment horizontal="left" vertical="top"/>
    </xf>
    <xf numFmtId="0" fontId="0" fillId="20" borderId="0" xfId="0" applyFill="1" applyAlignment="1" applyProtection="1">
      <alignment horizontal="left" vertical="top"/>
      <protection locked="0"/>
    </xf>
    <xf numFmtId="49" fontId="0" fillId="20" borderId="0" xfId="0" applyNumberFormat="1" applyFill="1" applyAlignment="1">
      <alignment horizontal="left" vertical="top"/>
    </xf>
    <xf numFmtId="0" fontId="8" fillId="20" borderId="0" xfId="0" applyFont="1" applyFill="1" applyAlignment="1">
      <alignment horizontal="left" vertical="top" wrapText="1"/>
    </xf>
    <xf numFmtId="0" fontId="8" fillId="20" borderId="0" xfId="0" applyFont="1" applyFill="1" applyAlignment="1">
      <alignment horizontal="right" vertical="top" wrapText="1"/>
    </xf>
    <xf numFmtId="0" fontId="8" fillId="20" borderId="0" xfId="0" applyFont="1" applyFill="1" applyAlignment="1">
      <alignment horizontal="left" vertical="top"/>
    </xf>
    <xf numFmtId="0" fontId="8" fillId="20" borderId="0" xfId="0" applyFont="1" applyFill="1" applyAlignment="1">
      <alignment horizontal="right" vertical="top"/>
    </xf>
    <xf numFmtId="49" fontId="0" fillId="20" borderId="0" xfId="0" applyNumberFormat="1" applyFill="1" applyAlignment="1">
      <alignment horizontal="left"/>
    </xf>
    <xf numFmtId="164" fontId="0" fillId="20" borderId="0" xfId="0" applyNumberFormat="1" applyFill="1" applyAlignment="1" applyProtection="1">
      <alignment horizontal="right"/>
      <protection hidden="1"/>
    </xf>
    <xf numFmtId="0" fontId="8" fillId="20" borderId="0" xfId="0" applyFont="1" applyFill="1" applyAlignment="1">
      <alignment horizontal="left" vertical="top" readingOrder="1"/>
    </xf>
    <xf numFmtId="0" fontId="23" fillId="20" borderId="0" xfId="0" applyFont="1" applyFill="1" applyAlignment="1">
      <alignment horizontal="left" vertical="top"/>
    </xf>
    <xf numFmtId="0" fontId="0" fillId="20" borderId="0" xfId="0" applyFill="1" applyAlignment="1">
      <alignment horizontal="right"/>
    </xf>
    <xf numFmtId="0" fontId="8" fillId="20" borderId="0" xfId="1" applyFont="1" applyFill="1" applyBorder="1" applyAlignment="1" applyProtection="1">
      <alignment horizontal="right" vertical="top" wrapText="1"/>
    </xf>
    <xf numFmtId="0" fontId="33" fillId="20" borderId="0" xfId="0" applyFont="1" applyFill="1"/>
    <xf numFmtId="0" fontId="8" fillId="20" borderId="0" xfId="0" applyFont="1" applyFill="1" applyAlignment="1">
      <alignment vertical="top" wrapText="1"/>
    </xf>
    <xf numFmtId="0" fontId="0" fillId="20" borderId="0" xfId="0" applyFill="1" applyAlignment="1">
      <alignment vertical="top"/>
    </xf>
    <xf numFmtId="0" fontId="0" fillId="20" borderId="0" xfId="0" applyFill="1" applyProtection="1">
      <protection locked="0"/>
    </xf>
    <xf numFmtId="0" fontId="0" fillId="20" borderId="0" xfId="0" applyFill="1" applyAlignment="1">
      <alignment horizontal="right" vertical="top"/>
    </xf>
    <xf numFmtId="0" fontId="15" fillId="20" borderId="0" xfId="0" applyFont="1" applyFill="1" applyAlignment="1">
      <alignment horizontal="right" vertical="top" wrapText="1"/>
    </xf>
    <xf numFmtId="164" fontId="0" fillId="27" borderId="0" xfId="0" applyNumberFormat="1" applyFill="1" applyAlignment="1" applyProtection="1">
      <alignment horizontal="right" vertical="top"/>
      <protection hidden="1"/>
    </xf>
    <xf numFmtId="0" fontId="0" fillId="27" borderId="0" xfId="0" applyFill="1" applyAlignment="1">
      <alignment horizontal="left" vertical="top"/>
    </xf>
    <xf numFmtId="0" fontId="0" fillId="27" borderId="0" xfId="0" applyFill="1"/>
    <xf numFmtId="0" fontId="0" fillId="27" borderId="0" xfId="0" applyFill="1" applyAlignment="1" applyProtection="1">
      <alignment horizontal="left" vertical="top"/>
      <protection locked="0"/>
    </xf>
    <xf numFmtId="0" fontId="8" fillId="27" borderId="0" xfId="0" applyFont="1" applyFill="1" applyAlignment="1">
      <alignment horizontal="left"/>
    </xf>
    <xf numFmtId="0" fontId="8" fillId="27" borderId="0" xfId="0" applyFont="1" applyFill="1"/>
    <xf numFmtId="0" fontId="8" fillId="27" borderId="0" xfId="0" applyFont="1" applyFill="1" applyAlignment="1">
      <alignment horizontal="right"/>
    </xf>
    <xf numFmtId="0" fontId="6" fillId="27" borderId="0" xfId="0" applyFont="1" applyFill="1" applyAlignment="1">
      <alignment horizontal="center"/>
    </xf>
    <xf numFmtId="0" fontId="8" fillId="27" borderId="0" xfId="0" applyFont="1" applyFill="1" applyAlignment="1">
      <alignment horizontal="left" vertical="top"/>
    </xf>
    <xf numFmtId="0" fontId="8" fillId="27" borderId="0" xfId="0" applyFont="1" applyFill="1" applyAlignment="1">
      <alignment vertical="top"/>
    </xf>
    <xf numFmtId="0" fontId="8" fillId="27" borderId="0" xfId="1" applyFont="1" applyFill="1" applyBorder="1" applyAlignment="1" applyProtection="1">
      <alignment horizontal="right" vertical="top"/>
    </xf>
    <xf numFmtId="0" fontId="8" fillId="27" borderId="0" xfId="0" applyFont="1" applyFill="1" applyAlignment="1">
      <alignment horizontal="right" vertical="top"/>
    </xf>
    <xf numFmtId="0" fontId="8" fillId="27" borderId="0" xfId="0" applyFont="1" applyFill="1" applyAlignment="1">
      <alignment horizontal="left" vertical="top" wrapText="1"/>
    </xf>
    <xf numFmtId="49" fontId="0" fillId="27" borderId="0" xfId="0" applyNumberFormat="1" applyFill="1" applyAlignment="1">
      <alignment horizontal="left" vertical="top"/>
    </xf>
    <xf numFmtId="0" fontId="0" fillId="29" borderId="0" xfId="0" applyFill="1"/>
    <xf numFmtId="164" fontId="0" fillId="29" borderId="0" xfId="0" applyNumberFormat="1" applyFill="1" applyAlignment="1" applyProtection="1">
      <alignment horizontal="right" vertical="top"/>
      <protection hidden="1"/>
    </xf>
    <xf numFmtId="0" fontId="0" fillId="29" borderId="0" xfId="0" applyFill="1" applyAlignment="1">
      <alignment horizontal="left" vertical="top"/>
    </xf>
    <xf numFmtId="0" fontId="0" fillId="29" borderId="0" xfId="0" applyFill="1" applyAlignment="1" applyProtection="1">
      <alignment horizontal="left" vertical="top"/>
      <protection locked="0"/>
    </xf>
    <xf numFmtId="0" fontId="8" fillId="29" borderId="0" xfId="0" applyFont="1" applyFill="1" applyAlignment="1">
      <alignment horizontal="left"/>
    </xf>
    <xf numFmtId="0" fontId="8" fillId="29" borderId="0" xfId="0" applyFont="1" applyFill="1"/>
    <xf numFmtId="0" fontId="8" fillId="29" borderId="0" xfId="0" applyFont="1" applyFill="1" applyAlignment="1">
      <alignment horizontal="right"/>
    </xf>
    <xf numFmtId="0" fontId="6" fillId="29" borderId="0" xfId="0" applyFont="1" applyFill="1" applyAlignment="1">
      <alignment horizontal="center"/>
    </xf>
    <xf numFmtId="0" fontId="0" fillId="29" borderId="0" xfId="0" applyFill="1" applyAlignment="1">
      <alignment vertical="top"/>
    </xf>
    <xf numFmtId="49" fontId="0" fillId="29" borderId="0" xfId="0" applyNumberFormat="1" applyFill="1" applyAlignment="1">
      <alignment horizontal="left" vertical="top"/>
    </xf>
    <xf numFmtId="0" fontId="8" fillId="29" borderId="0" xfId="0" applyFont="1" applyFill="1" applyAlignment="1">
      <alignment horizontal="left" vertical="top" wrapText="1"/>
    </xf>
    <xf numFmtId="0" fontId="8" fillId="29" borderId="0" xfId="0" applyFont="1" applyFill="1" applyAlignment="1">
      <alignment horizontal="left" vertical="top"/>
    </xf>
    <xf numFmtId="0" fontId="8" fillId="29" borderId="0" xfId="1" applyFont="1" applyFill="1" applyAlignment="1" applyProtection="1">
      <alignment horizontal="right" vertical="top"/>
    </xf>
    <xf numFmtId="0" fontId="8" fillId="29" borderId="0" xfId="0" applyFont="1" applyFill="1" applyAlignment="1">
      <alignment horizontal="right" vertical="top"/>
    </xf>
    <xf numFmtId="164" fontId="0" fillId="29" borderId="0" xfId="0" applyNumberFormat="1" applyFill="1" applyAlignment="1" applyProtection="1">
      <alignment horizontal="right"/>
      <protection hidden="1"/>
    </xf>
    <xf numFmtId="0" fontId="34" fillId="29" borderId="0" xfId="0" applyFont="1" applyFill="1"/>
    <xf numFmtId="0" fontId="8" fillId="29" borderId="0" xfId="0" applyFont="1" applyFill="1" applyAlignment="1">
      <alignment horizontal="right" vertical="top" wrapText="1"/>
    </xf>
    <xf numFmtId="0" fontId="8" fillId="29" borderId="0" xfId="0" applyFont="1" applyFill="1" applyAlignment="1">
      <alignment vertical="top"/>
    </xf>
    <xf numFmtId="0" fontId="113" fillId="0" borderId="0" xfId="0" applyFont="1" applyAlignment="1">
      <alignment vertical="center"/>
    </xf>
    <xf numFmtId="0" fontId="0" fillId="5" borderId="1" xfId="0" applyFill="1" applyBorder="1" applyProtection="1">
      <protection locked="0"/>
    </xf>
    <xf numFmtId="2" fontId="0" fillId="5" borderId="0" xfId="0" applyNumberFormat="1" applyFill="1" applyAlignment="1">
      <alignment horizontal="center"/>
    </xf>
    <xf numFmtId="2" fontId="0" fillId="10" borderId="0" xfId="0" applyNumberFormat="1" applyFill="1" applyAlignment="1">
      <alignment horizontal="center"/>
    </xf>
    <xf numFmtId="0" fontId="47" fillId="5" borderId="2" xfId="0" applyFont="1" applyFill="1" applyBorder="1" applyAlignment="1">
      <alignment horizontal="left" vertical="center"/>
    </xf>
    <xf numFmtId="0" fontId="47" fillId="0" borderId="19" xfId="0" applyFont="1" applyBorder="1" applyAlignment="1">
      <alignment vertical="center"/>
    </xf>
    <xf numFmtId="0" fontId="3" fillId="0" borderId="3" xfId="0" applyFont="1" applyBorder="1" applyAlignment="1">
      <alignment vertical="center"/>
    </xf>
    <xf numFmtId="0" fontId="3" fillId="0" borderId="21" xfId="0" applyFont="1" applyBorder="1" applyAlignment="1">
      <alignment vertical="center"/>
    </xf>
    <xf numFmtId="0" fontId="8" fillId="5" borderId="0" xfId="0" applyFont="1" applyFill="1" applyAlignment="1">
      <alignment horizontal="left" vertical="center" wrapText="1"/>
    </xf>
    <xf numFmtId="10" fontId="0" fillId="5" borderId="0" xfId="0" applyNumberFormat="1" applyFill="1" applyAlignment="1">
      <alignment vertical="top" wrapText="1"/>
    </xf>
    <xf numFmtId="0" fontId="14" fillId="6" borderId="11" xfId="0" applyFont="1" applyFill="1" applyBorder="1" applyAlignment="1">
      <alignment wrapText="1"/>
    </xf>
    <xf numFmtId="0" fontId="14" fillId="6" borderId="12" xfId="2" applyNumberFormat="1" applyFont="1" applyFill="1" applyBorder="1" applyAlignment="1">
      <alignment wrapText="1"/>
    </xf>
    <xf numFmtId="0" fontId="3" fillId="5" borderId="0" xfId="0" applyFont="1" applyFill="1" applyAlignment="1">
      <alignment horizontal="left" wrapText="1"/>
    </xf>
    <xf numFmtId="0" fontId="116" fillId="5" borderId="0" xfId="0" applyFont="1" applyFill="1" applyAlignment="1">
      <alignment vertical="center"/>
    </xf>
    <xf numFmtId="0" fontId="4" fillId="5" borderId="57" xfId="0" applyFont="1" applyFill="1" applyBorder="1" applyAlignment="1">
      <alignment vertical="center"/>
    </xf>
    <xf numFmtId="0" fontId="4" fillId="5" borderId="62" xfId="0" applyFont="1" applyFill="1" applyBorder="1" applyAlignment="1">
      <alignment vertical="center"/>
    </xf>
    <xf numFmtId="0" fontId="4" fillId="0" borderId="62" xfId="0" applyFont="1" applyBorder="1" applyAlignment="1">
      <alignment vertical="center"/>
    </xf>
    <xf numFmtId="0" fontId="3" fillId="0" borderId="2" xfId="0" applyFont="1" applyBorder="1" applyAlignment="1">
      <alignment vertical="top" wrapText="1"/>
    </xf>
    <xf numFmtId="0" fontId="89" fillId="11" borderId="127" xfId="0" quotePrefix="1" applyFont="1" applyFill="1" applyBorder="1" applyAlignment="1">
      <alignment wrapText="1"/>
    </xf>
    <xf numFmtId="0" fontId="0" fillId="11" borderId="128" xfId="0" applyFill="1" applyBorder="1"/>
    <xf numFmtId="0" fontId="0" fillId="5" borderId="16" xfId="0" applyFill="1" applyBorder="1" applyAlignment="1">
      <alignment horizontal="right" wrapText="1"/>
    </xf>
    <xf numFmtId="0" fontId="8" fillId="5" borderId="16" xfId="0" applyFont="1" applyFill="1" applyBorder="1" applyAlignment="1">
      <alignment horizontal="right" wrapText="1"/>
    </xf>
    <xf numFmtId="0" fontId="0" fillId="0" borderId="10" xfId="0" applyBorder="1"/>
    <xf numFmtId="0" fontId="121" fillId="11" borderId="0" xfId="0" applyFont="1" applyFill="1"/>
    <xf numFmtId="0" fontId="121" fillId="5" borderId="17" xfId="0" applyFont="1" applyFill="1" applyBorder="1" applyAlignment="1">
      <alignment horizontal="right" wrapText="1"/>
    </xf>
    <xf numFmtId="0" fontId="121" fillId="0" borderId="0" xfId="0" applyFont="1"/>
    <xf numFmtId="0" fontId="8" fillId="5" borderId="0" xfId="0" applyFont="1" applyFill="1" applyAlignment="1">
      <alignment horizontal="left" wrapText="1"/>
    </xf>
    <xf numFmtId="0" fontId="118" fillId="16" borderId="0" xfId="0" applyFont="1" applyFill="1" applyAlignment="1">
      <alignment vertical="center"/>
    </xf>
    <xf numFmtId="0" fontId="118" fillId="24" borderId="0" xfId="0" applyFont="1" applyFill="1" applyAlignment="1">
      <alignment vertical="center"/>
    </xf>
    <xf numFmtId="0" fontId="0" fillId="5" borderId="101" xfId="0" applyFill="1" applyBorder="1"/>
    <xf numFmtId="0" fontId="118" fillId="15" borderId="0" xfId="0" applyFont="1" applyFill="1" applyAlignment="1">
      <alignment vertical="center"/>
    </xf>
    <xf numFmtId="0" fontId="6" fillId="5" borderId="0" xfId="0" applyFont="1" applyFill="1"/>
    <xf numFmtId="0" fontId="8" fillId="5" borderId="0" xfId="0" applyFont="1" applyFill="1" applyAlignment="1">
      <alignment vertical="center" wrapText="1"/>
    </xf>
    <xf numFmtId="0" fontId="115" fillId="5" borderId="0" xfId="0" applyFont="1" applyFill="1" applyAlignment="1">
      <alignment horizontal="left" vertical="top"/>
    </xf>
    <xf numFmtId="0" fontId="115" fillId="0" borderId="0" xfId="0" applyFont="1" applyAlignment="1">
      <alignment horizontal="left" vertical="top"/>
    </xf>
    <xf numFmtId="10" fontId="0" fillId="0" borderId="0" xfId="0" applyNumberFormat="1" applyAlignment="1">
      <alignment horizontal="left" vertical="top" wrapText="1"/>
    </xf>
    <xf numFmtId="0" fontId="121" fillId="5" borderId="16" xfId="0" applyFont="1" applyFill="1" applyBorder="1" applyAlignment="1">
      <alignment horizontal="right" wrapText="1"/>
    </xf>
    <xf numFmtId="10" fontId="0" fillId="6" borderId="10" xfId="0" applyNumberFormat="1" applyFill="1" applyBorder="1" applyAlignment="1">
      <alignment wrapText="1"/>
    </xf>
    <xf numFmtId="10" fontId="8" fillId="5" borderId="10" xfId="0" applyNumberFormat="1" applyFont="1" applyFill="1" applyBorder="1" applyAlignment="1">
      <alignment horizontal="left"/>
    </xf>
    <xf numFmtId="0" fontId="14" fillId="0" borderId="0" xfId="0" applyFont="1" applyAlignment="1">
      <alignment vertical="top"/>
    </xf>
    <xf numFmtId="0" fontId="23" fillId="5" borderId="0" xfId="0" applyFont="1" applyFill="1" applyAlignment="1">
      <alignment horizontal="center"/>
    </xf>
    <xf numFmtId="0" fontId="8" fillId="5" borderId="0" xfId="0" applyFont="1" applyFill="1" applyAlignment="1">
      <alignment horizontal="center"/>
    </xf>
    <xf numFmtId="10" fontId="8" fillId="5" borderId="0" xfId="0" applyNumberFormat="1" applyFont="1" applyFill="1" applyAlignment="1">
      <alignment horizontal="left"/>
    </xf>
    <xf numFmtId="10" fontId="8" fillId="5" borderId="0" xfId="0" applyNumberFormat="1" applyFont="1" applyFill="1" applyAlignment="1">
      <alignment horizontal="left" wrapText="1"/>
    </xf>
    <xf numFmtId="0" fontId="0" fillId="5" borderId="137" xfId="0" applyFill="1" applyBorder="1"/>
    <xf numFmtId="0" fontId="3" fillId="0" borderId="0" xfId="0" applyFont="1" applyAlignment="1">
      <alignment wrapText="1"/>
    </xf>
    <xf numFmtId="0" fontId="17" fillId="0" borderId="0" xfId="0" applyFont="1" applyAlignment="1">
      <alignment vertical="center"/>
    </xf>
    <xf numFmtId="0" fontId="17" fillId="0" borderId="0" xfId="0" applyFont="1"/>
    <xf numFmtId="0" fontId="17" fillId="0" borderId="0" xfId="0" applyFont="1" applyAlignment="1">
      <alignment horizontal="left" vertical="center"/>
    </xf>
    <xf numFmtId="0" fontId="17" fillId="0" borderId="0" xfId="0" applyFont="1" applyAlignment="1">
      <alignment horizontal="left"/>
    </xf>
    <xf numFmtId="0" fontId="118" fillId="0" borderId="0" xfId="0" applyFont="1" applyAlignment="1">
      <alignment horizontal="center" vertical="center"/>
    </xf>
    <xf numFmtId="0" fontId="118" fillId="0" borderId="0" xfId="0" applyFont="1" applyAlignment="1">
      <alignment vertical="center"/>
    </xf>
    <xf numFmtId="0" fontId="93" fillId="0" borderId="0" xfId="0" applyFont="1" applyAlignment="1">
      <alignment horizontal="center" vertical="center"/>
    </xf>
    <xf numFmtId="0" fontId="0" fillId="0" borderId="0" xfId="0" applyAlignment="1">
      <alignment horizontal="center" vertical="center"/>
    </xf>
    <xf numFmtId="0" fontId="13" fillId="0" borderId="0" xfId="0" applyFont="1" applyAlignment="1">
      <alignment horizontal="left" vertical="center"/>
    </xf>
    <xf numFmtId="0" fontId="118" fillId="33" borderId="0" xfId="0" applyFont="1" applyFill="1" applyAlignment="1">
      <alignment vertical="center"/>
    </xf>
    <xf numFmtId="0" fontId="0" fillId="0" borderId="0" xfId="0" applyAlignment="1">
      <alignment horizontal="left" vertical="center"/>
    </xf>
    <xf numFmtId="0" fontId="9" fillId="5" borderId="0" xfId="1" applyFill="1" applyAlignment="1" applyProtection="1">
      <alignment horizontal="left" vertical="top" wrapText="1"/>
      <protection locked="0"/>
    </xf>
    <xf numFmtId="0" fontId="29" fillId="0" borderId="0" xfId="0" applyFont="1" applyAlignment="1">
      <alignment vertical="center"/>
    </xf>
    <xf numFmtId="0" fontId="4" fillId="0" borderId="0" xfId="0" applyFont="1" applyAlignment="1">
      <alignment horizontal="left" vertical="center"/>
    </xf>
    <xf numFmtId="0" fontId="47" fillId="0" borderId="20" xfId="0" applyFont="1" applyBorder="1" applyAlignment="1">
      <alignment vertical="center"/>
    </xf>
    <xf numFmtId="0" fontId="4" fillId="0" borderId="2" xfId="0" applyFont="1" applyBorder="1" applyAlignment="1">
      <alignment vertical="center"/>
    </xf>
    <xf numFmtId="0" fontId="3" fillId="0" borderId="0" xfId="0" applyFont="1" applyAlignment="1">
      <alignment horizontal="left" vertical="center"/>
    </xf>
    <xf numFmtId="0" fontId="49" fillId="0" borderId="2" xfId="0" applyFont="1" applyBorder="1" applyAlignment="1">
      <alignment vertical="center"/>
    </xf>
    <xf numFmtId="0" fontId="5" fillId="0" borderId="2" xfId="0" applyFont="1" applyBorder="1" applyAlignment="1">
      <alignment vertical="center"/>
    </xf>
    <xf numFmtId="0" fontId="39" fillId="0" borderId="0" xfId="0" applyFont="1" applyAlignment="1">
      <alignment vertical="center" textRotation="90"/>
    </xf>
    <xf numFmtId="0" fontId="4" fillId="0" borderId="0" xfId="0" applyFont="1" applyAlignment="1">
      <alignment vertical="center"/>
    </xf>
    <xf numFmtId="0" fontId="64" fillId="5" borderId="0" xfId="0" applyFont="1" applyFill="1" applyAlignment="1">
      <alignment vertical="center"/>
    </xf>
    <xf numFmtId="0" fontId="0" fillId="28" borderId="0" xfId="0" applyFill="1"/>
    <xf numFmtId="0" fontId="95" fillId="11" borderId="143" xfId="0" applyFont="1" applyFill="1" applyBorder="1"/>
    <xf numFmtId="0" fontId="47" fillId="11" borderId="144" xfId="0" applyFont="1" applyFill="1" applyBorder="1" applyAlignment="1">
      <alignment vertical="center"/>
    </xf>
    <xf numFmtId="0" fontId="95" fillId="11" borderId="145" xfId="0" applyFont="1" applyFill="1" applyBorder="1"/>
    <xf numFmtId="0" fontId="89" fillId="11" borderId="144" xfId="0" quotePrefix="1" applyFont="1" applyFill="1" applyBorder="1" applyAlignment="1">
      <alignment wrapText="1"/>
    </xf>
    <xf numFmtId="0" fontId="89" fillId="11" borderId="145" xfId="0" quotePrefix="1" applyFont="1" applyFill="1" applyBorder="1" applyAlignment="1">
      <alignment wrapText="1"/>
    </xf>
    <xf numFmtId="0" fontId="89" fillId="11" borderId="146" xfId="0" quotePrefix="1" applyFont="1" applyFill="1" applyBorder="1" applyAlignment="1">
      <alignment wrapText="1"/>
    </xf>
    <xf numFmtId="0" fontId="89" fillId="11" borderId="147" xfId="0" quotePrefix="1" applyFont="1" applyFill="1" applyBorder="1" applyAlignment="1">
      <alignment wrapText="1"/>
    </xf>
    <xf numFmtId="0" fontId="0" fillId="0" borderId="62" xfId="0" applyBorder="1"/>
    <xf numFmtId="0" fontId="47" fillId="11" borderId="146" xfId="0" applyFont="1" applyFill="1" applyBorder="1" applyAlignment="1">
      <alignment vertical="center"/>
    </xf>
    <xf numFmtId="0" fontId="0" fillId="19" borderId="0" xfId="0" applyFill="1"/>
    <xf numFmtId="49" fontId="0" fillId="19" borderId="0" xfId="0" applyNumberFormat="1" applyFill="1" applyAlignment="1">
      <alignment horizontal="left"/>
    </xf>
    <xf numFmtId="0" fontId="0" fillId="19" borderId="0" xfId="0" applyFill="1" applyAlignment="1">
      <alignment horizontal="left"/>
    </xf>
    <xf numFmtId="0" fontId="8" fillId="10" borderId="0" xfId="0" applyFont="1" applyFill="1" applyAlignment="1" applyProtection="1">
      <alignment horizontal="center" vertical="center"/>
      <protection locked="0"/>
    </xf>
    <xf numFmtId="0" fontId="93" fillId="0" borderId="0" xfId="0" applyFont="1" applyAlignment="1">
      <alignment vertical="center"/>
    </xf>
    <xf numFmtId="0" fontId="10" fillId="0" borderId="0" xfId="0" applyFont="1" applyAlignment="1">
      <alignment horizontal="center" vertical="center" wrapText="1"/>
    </xf>
    <xf numFmtId="0" fontId="3" fillId="0" borderId="89" xfId="0" applyFont="1" applyBorder="1" applyAlignment="1">
      <alignment vertical="center"/>
    </xf>
    <xf numFmtId="0" fontId="51" fillId="7" borderId="0" xfId="0" applyFont="1" applyFill="1" applyAlignment="1" applyProtection="1">
      <alignment vertical="top" wrapText="1"/>
      <protection locked="0"/>
    </xf>
    <xf numFmtId="0" fontId="51" fillId="7" borderId="0" xfId="0" applyFont="1" applyFill="1" applyAlignment="1" applyProtection="1">
      <alignment vertical="top"/>
      <protection locked="0"/>
    </xf>
    <xf numFmtId="0" fontId="0" fillId="5" borderId="0" xfId="0" applyFill="1" applyAlignment="1">
      <alignment vertical="center" wrapText="1"/>
    </xf>
    <xf numFmtId="0" fontId="9" fillId="5" borderId="0" xfId="1" applyFill="1" applyAlignment="1" applyProtection="1">
      <alignment vertical="top"/>
      <protection locked="0"/>
    </xf>
    <xf numFmtId="0" fontId="122" fillId="5" borderId="0" xfId="1" applyFont="1" applyFill="1" applyAlignment="1" applyProtection="1">
      <alignment vertical="top" wrapText="1"/>
      <protection locked="0"/>
    </xf>
    <xf numFmtId="2" fontId="0" fillId="9" borderId="8" xfId="0" applyNumberFormat="1" applyFill="1" applyBorder="1" applyAlignment="1">
      <alignment wrapText="1"/>
    </xf>
    <xf numFmtId="2" fontId="0" fillId="9" borderId="15" xfId="0" applyNumberFormat="1" applyFill="1" applyBorder="1" applyAlignment="1">
      <alignment wrapText="1"/>
    </xf>
    <xf numFmtId="2" fontId="0" fillId="9" borderId="11" xfId="0" applyNumberFormat="1" applyFill="1" applyBorder="1" applyAlignment="1">
      <alignment wrapText="1"/>
    </xf>
    <xf numFmtId="2" fontId="0" fillId="9" borderId="16" xfId="0" applyNumberFormat="1" applyFill="1" applyBorder="1" applyAlignment="1">
      <alignment wrapText="1"/>
    </xf>
    <xf numFmtId="2" fontId="0" fillId="9" borderId="13" xfId="0" applyNumberFormat="1" applyFill="1" applyBorder="1" applyAlignment="1">
      <alignment wrapText="1"/>
    </xf>
    <xf numFmtId="2" fontId="0" fillId="9" borderId="17" xfId="0" applyNumberFormat="1" applyFill="1" applyBorder="1" applyAlignment="1">
      <alignment wrapText="1"/>
    </xf>
    <xf numFmtId="9" fontId="0" fillId="9" borderId="5" xfId="2" applyFont="1" applyFill="1" applyBorder="1" applyAlignment="1">
      <alignment wrapText="1"/>
    </xf>
    <xf numFmtId="9" fontId="0" fillId="9" borderId="6" xfId="2" applyFont="1" applyFill="1" applyBorder="1" applyAlignment="1">
      <alignment wrapText="1"/>
    </xf>
    <xf numFmtId="9" fontId="0" fillId="9" borderId="7" xfId="2" applyFont="1" applyFill="1" applyBorder="1" applyAlignment="1">
      <alignment wrapText="1"/>
    </xf>
    <xf numFmtId="2" fontId="0" fillId="13" borderId="8" xfId="0" applyNumberFormat="1" applyFill="1" applyBorder="1" applyAlignment="1">
      <alignment wrapText="1"/>
    </xf>
    <xf numFmtId="2" fontId="0" fillId="13" borderId="11" xfId="0" applyNumberFormat="1" applyFill="1" applyBorder="1" applyAlignment="1">
      <alignment wrapText="1"/>
    </xf>
    <xf numFmtId="2" fontId="0" fillId="13" borderId="17" xfId="0" applyNumberFormat="1" applyFill="1" applyBorder="1" applyAlignment="1">
      <alignment wrapText="1"/>
    </xf>
    <xf numFmtId="2" fontId="0" fillId="13" borderId="13" xfId="0" applyNumberFormat="1" applyFill="1" applyBorder="1" applyAlignment="1">
      <alignment wrapText="1"/>
    </xf>
    <xf numFmtId="2" fontId="0" fillId="8" borderId="8" xfId="0" applyNumberFormat="1" applyFill="1" applyBorder="1" applyAlignment="1">
      <alignment wrapText="1"/>
    </xf>
    <xf numFmtId="2" fontId="0" fillId="8" borderId="11" xfId="0" applyNumberFormat="1" applyFill="1" applyBorder="1" applyAlignment="1">
      <alignment wrapText="1"/>
    </xf>
    <xf numFmtId="2" fontId="0" fillId="8" borderId="13" xfId="0" applyNumberFormat="1" applyFill="1" applyBorder="1" applyAlignment="1">
      <alignment wrapText="1"/>
    </xf>
    <xf numFmtId="2" fontId="0" fillId="6" borderId="8" xfId="0" applyNumberFormat="1" applyFill="1" applyBorder="1" applyAlignment="1">
      <alignment wrapText="1"/>
    </xf>
    <xf numFmtId="2" fontId="0" fillId="6" borderId="15" xfId="0" applyNumberFormat="1" applyFill="1" applyBorder="1" applyAlignment="1">
      <alignment wrapText="1"/>
    </xf>
    <xf numFmtId="2" fontId="0" fillId="6" borderId="11" xfId="0" applyNumberFormat="1" applyFill="1" applyBorder="1" applyAlignment="1">
      <alignment wrapText="1"/>
    </xf>
    <xf numFmtId="2" fontId="0" fillId="6" borderId="16" xfId="0" applyNumberFormat="1" applyFill="1" applyBorder="1" applyAlignment="1">
      <alignment wrapText="1"/>
    </xf>
    <xf numFmtId="2" fontId="0" fillId="6" borderId="13" xfId="0" applyNumberFormat="1" applyFill="1" applyBorder="1" applyAlignment="1">
      <alignment wrapText="1"/>
    </xf>
    <xf numFmtId="2" fontId="0" fillId="6" borderId="17" xfId="0" applyNumberFormat="1" applyFill="1" applyBorder="1" applyAlignment="1">
      <alignment wrapText="1"/>
    </xf>
    <xf numFmtId="9" fontId="0" fillId="6" borderId="5" xfId="2" applyFont="1" applyFill="1" applyBorder="1" applyAlignment="1">
      <alignment wrapText="1"/>
    </xf>
    <xf numFmtId="9" fontId="0" fillId="6" borderId="6" xfId="2" applyFont="1" applyFill="1" applyBorder="1" applyAlignment="1">
      <alignment wrapText="1"/>
    </xf>
    <xf numFmtId="9" fontId="0" fillId="6" borderId="7" xfId="2" applyFont="1" applyFill="1" applyBorder="1" applyAlignment="1">
      <alignment wrapText="1"/>
    </xf>
    <xf numFmtId="0" fontId="123" fillId="19" borderId="85" xfId="0" applyFont="1" applyFill="1" applyBorder="1" applyAlignment="1">
      <alignment horizontal="right" vertical="center"/>
    </xf>
    <xf numFmtId="0" fontId="123" fillId="25" borderId="85" xfId="0" applyFont="1" applyFill="1" applyBorder="1" applyAlignment="1">
      <alignment vertical="center"/>
    </xf>
    <xf numFmtId="0" fontId="124" fillId="5" borderId="85" xfId="0" applyFont="1" applyFill="1" applyBorder="1" applyAlignment="1">
      <alignment vertical="center"/>
    </xf>
    <xf numFmtId="0" fontId="125" fillId="5" borderId="85" xfId="0" applyFont="1" applyFill="1" applyBorder="1" applyAlignment="1">
      <alignment vertical="center"/>
    </xf>
    <xf numFmtId="0" fontId="123" fillId="5" borderId="19" xfId="0" applyFont="1" applyFill="1" applyBorder="1" applyAlignment="1">
      <alignment vertical="center"/>
    </xf>
    <xf numFmtId="0" fontId="123" fillId="5" borderId="2" xfId="0" applyFont="1" applyFill="1" applyBorder="1" applyAlignment="1">
      <alignment vertical="center"/>
    </xf>
    <xf numFmtId="0" fontId="124" fillId="5" borderId="2" xfId="0" applyFont="1" applyFill="1" applyBorder="1" applyAlignment="1">
      <alignment vertical="center"/>
    </xf>
    <xf numFmtId="0" fontId="126" fillId="5" borderId="2" xfId="0" applyFont="1" applyFill="1" applyBorder="1" applyAlignment="1">
      <alignment horizontal="left" vertical="center"/>
    </xf>
    <xf numFmtId="0" fontId="123" fillId="5" borderId="2" xfId="0" applyFont="1" applyFill="1" applyBorder="1" applyAlignment="1">
      <alignment horizontal="left" vertical="center"/>
    </xf>
    <xf numFmtId="0" fontId="127" fillId="5" borderId="2" xfId="0" applyFont="1" applyFill="1" applyBorder="1" applyAlignment="1">
      <alignment horizontal="left" vertical="center"/>
    </xf>
    <xf numFmtId="0" fontId="123" fillId="23" borderId="85" xfId="0" applyFont="1" applyFill="1" applyBorder="1" applyAlignment="1">
      <alignment horizontal="right" vertical="center"/>
    </xf>
    <xf numFmtId="0" fontId="123" fillId="20" borderId="85" xfId="0" applyFont="1" applyFill="1" applyBorder="1" applyAlignment="1">
      <alignment vertical="center"/>
    </xf>
    <xf numFmtId="0" fontId="123" fillId="5" borderId="85" xfId="0" applyFont="1" applyFill="1" applyBorder="1" applyAlignment="1">
      <alignment vertical="center"/>
    </xf>
    <xf numFmtId="0" fontId="123" fillId="5" borderId="62" xfId="0" applyFont="1" applyFill="1" applyBorder="1" applyAlignment="1">
      <alignment vertical="center"/>
    </xf>
    <xf numFmtId="0" fontId="124" fillId="5" borderId="86" xfId="0" applyFont="1" applyFill="1" applyBorder="1" applyAlignment="1">
      <alignment vertical="center"/>
    </xf>
    <xf numFmtId="0" fontId="123" fillId="23" borderId="87" xfId="0" applyFont="1" applyFill="1" applyBorder="1" applyAlignment="1">
      <alignment horizontal="right" vertical="center"/>
    </xf>
    <xf numFmtId="0" fontId="123" fillId="0" borderId="85" xfId="0" applyFont="1" applyBorder="1" applyAlignment="1">
      <alignment vertical="center"/>
    </xf>
    <xf numFmtId="0" fontId="123" fillId="0" borderId="66" xfId="0" applyFont="1" applyBorder="1" applyAlignment="1">
      <alignment vertical="center"/>
    </xf>
    <xf numFmtId="0" fontId="123" fillId="0" borderId="57" xfId="0" applyFont="1" applyBorder="1" applyAlignment="1">
      <alignment horizontal="right" vertical="center"/>
    </xf>
    <xf numFmtId="0" fontId="123" fillId="0" borderId="57" xfId="0" applyFont="1" applyBorder="1" applyAlignment="1">
      <alignment vertical="center"/>
    </xf>
    <xf numFmtId="0" fontId="123" fillId="0" borderId="2" xfId="0" applyFont="1" applyBorder="1" applyAlignment="1">
      <alignment vertical="center"/>
    </xf>
    <xf numFmtId="0" fontId="123" fillId="0" borderId="2" xfId="0" applyFont="1" applyBorder="1" applyAlignment="1">
      <alignment horizontal="right" vertical="center"/>
    </xf>
    <xf numFmtId="0" fontId="123" fillId="5" borderId="2" xfId="0" applyFont="1" applyFill="1" applyBorder="1" applyAlignment="1">
      <alignment horizontal="right" vertical="center"/>
    </xf>
    <xf numFmtId="0" fontId="124" fillId="0" borderId="2" xfId="0" applyFont="1" applyBorder="1" applyAlignment="1">
      <alignment vertical="center"/>
    </xf>
    <xf numFmtId="0" fontId="124" fillId="5" borderId="66" xfId="0" applyFont="1" applyFill="1" applyBorder="1" applyAlignment="1">
      <alignment vertical="center"/>
    </xf>
    <xf numFmtId="0" fontId="123" fillId="5" borderId="62" xfId="0" applyFont="1" applyFill="1" applyBorder="1" applyAlignment="1">
      <alignment horizontal="right" vertical="center"/>
    </xf>
    <xf numFmtId="0" fontId="123" fillId="5" borderId="21" xfId="0" applyFont="1" applyFill="1" applyBorder="1" applyAlignment="1">
      <alignment vertical="center"/>
    </xf>
    <xf numFmtId="0" fontId="123" fillId="5" borderId="21" xfId="0" applyFont="1" applyFill="1" applyBorder="1" applyAlignment="1">
      <alignment horizontal="right" vertical="center"/>
    </xf>
    <xf numFmtId="0" fontId="126" fillId="5" borderId="21" xfId="0" applyFont="1" applyFill="1" applyBorder="1" applyAlignment="1">
      <alignment horizontal="left" vertical="center"/>
    </xf>
    <xf numFmtId="0" fontId="123" fillId="5" borderId="21" xfId="0" applyFont="1" applyFill="1" applyBorder="1" applyAlignment="1">
      <alignment horizontal="left" vertical="center"/>
    </xf>
    <xf numFmtId="0" fontId="127" fillId="5" borderId="21" xfId="0" applyFont="1" applyFill="1" applyBorder="1" applyAlignment="1">
      <alignment horizontal="left" vertical="center"/>
    </xf>
    <xf numFmtId="49" fontId="123" fillId="19" borderId="85" xfId="0" applyNumberFormat="1" applyFont="1" applyFill="1" applyBorder="1" applyAlignment="1">
      <alignment horizontal="right" vertical="center"/>
    </xf>
    <xf numFmtId="0" fontId="123" fillId="5" borderId="20" xfId="0" applyFont="1" applyFill="1" applyBorder="1" applyAlignment="1">
      <alignment vertical="center"/>
    </xf>
    <xf numFmtId="0" fontId="123" fillId="11" borderId="85" xfId="0" applyFont="1" applyFill="1" applyBorder="1" applyAlignment="1">
      <alignment horizontal="right" vertical="center"/>
    </xf>
    <xf numFmtId="0" fontId="123" fillId="0" borderId="85" xfId="0" applyFont="1" applyBorder="1" applyAlignment="1">
      <alignment horizontal="left" vertical="center"/>
    </xf>
    <xf numFmtId="0" fontId="123" fillId="5" borderId="57" xfId="0" applyFont="1" applyFill="1" applyBorder="1" applyAlignment="1">
      <alignment horizontal="right" vertical="center"/>
    </xf>
    <xf numFmtId="0" fontId="123" fillId="5" borderId="57" xfId="0" applyFont="1" applyFill="1" applyBorder="1" applyAlignment="1">
      <alignment vertical="center"/>
    </xf>
    <xf numFmtId="0" fontId="123" fillId="5" borderId="56" xfId="0" applyFont="1" applyFill="1" applyBorder="1" applyAlignment="1">
      <alignment vertical="center"/>
    </xf>
    <xf numFmtId="0" fontId="123" fillId="5" borderId="85" xfId="0" applyFont="1" applyFill="1" applyBorder="1" applyAlignment="1">
      <alignment horizontal="right" vertical="center"/>
    </xf>
    <xf numFmtId="0" fontId="126" fillId="5" borderId="57" xfId="0" applyFont="1" applyFill="1" applyBorder="1" applyAlignment="1">
      <alignment horizontal="left" vertical="center"/>
    </xf>
    <xf numFmtId="0" fontId="123" fillId="5" borderId="57" xfId="0" applyFont="1" applyFill="1" applyBorder="1" applyAlignment="1">
      <alignment horizontal="left" vertical="center"/>
    </xf>
    <xf numFmtId="0" fontId="127" fillId="5" borderId="57" xfId="0" applyFont="1" applyFill="1" applyBorder="1" applyAlignment="1">
      <alignment horizontal="left" vertical="center"/>
    </xf>
    <xf numFmtId="0" fontId="123" fillId="19" borderId="2" xfId="0" applyFont="1" applyFill="1" applyBorder="1" applyAlignment="1">
      <alignment horizontal="right" vertical="center"/>
    </xf>
    <xf numFmtId="0" fontId="123" fillId="26" borderId="2" xfId="0" applyFont="1" applyFill="1" applyBorder="1" applyAlignment="1">
      <alignment vertical="center"/>
    </xf>
    <xf numFmtId="0" fontId="123" fillId="11" borderId="2" xfId="0" applyFont="1" applyFill="1" applyBorder="1" applyAlignment="1">
      <alignment horizontal="right" vertical="center"/>
    </xf>
    <xf numFmtId="0" fontId="125" fillId="5" borderId="2" xfId="0" applyFont="1" applyFill="1" applyBorder="1" applyAlignment="1">
      <alignment vertical="center"/>
    </xf>
    <xf numFmtId="0" fontId="123" fillId="23" borderId="2" xfId="0" applyFont="1" applyFill="1" applyBorder="1" applyAlignment="1">
      <alignment horizontal="right" vertical="center"/>
    </xf>
    <xf numFmtId="0" fontId="123" fillId="27" borderId="2" xfId="0" applyFont="1" applyFill="1" applyBorder="1" applyAlignment="1">
      <alignment vertical="top" wrapText="1"/>
    </xf>
    <xf numFmtId="0" fontId="125" fillId="5" borderId="2" xfId="0" applyFont="1" applyFill="1" applyBorder="1" applyAlignment="1">
      <alignment horizontal="right" vertical="center"/>
    </xf>
    <xf numFmtId="0" fontId="124" fillId="5" borderId="2" xfId="0" applyFont="1" applyFill="1" applyBorder="1" applyAlignment="1">
      <alignment horizontal="right" vertical="center"/>
    </xf>
    <xf numFmtId="0" fontId="123" fillId="0" borderId="21" xfId="0" applyFont="1" applyBorder="1" applyAlignment="1">
      <alignment horizontal="right" vertical="center"/>
    </xf>
    <xf numFmtId="0" fontId="123" fillId="0" borderId="21" xfId="0" applyFont="1" applyBorder="1" applyAlignment="1">
      <alignment vertical="center"/>
    </xf>
    <xf numFmtId="0" fontId="128" fillId="5" borderId="21" xfId="0" applyFont="1" applyFill="1" applyBorder="1" applyAlignment="1">
      <alignment vertical="center"/>
    </xf>
    <xf numFmtId="0" fontId="123" fillId="28" borderId="85" xfId="0" applyFont="1" applyFill="1" applyBorder="1" applyAlignment="1">
      <alignment vertical="center"/>
    </xf>
    <xf numFmtId="0" fontId="126" fillId="5" borderId="85" xfId="0" applyFont="1" applyFill="1" applyBorder="1" applyAlignment="1">
      <alignment horizontal="left" vertical="center"/>
    </xf>
    <xf numFmtId="0" fontId="123" fillId="5" borderId="19" xfId="0" applyFont="1" applyFill="1" applyBorder="1" applyAlignment="1">
      <alignment horizontal="left" vertical="center"/>
    </xf>
    <xf numFmtId="0" fontId="123" fillId="29" borderId="85" xfId="0" applyFont="1" applyFill="1" applyBorder="1" applyAlignment="1">
      <alignment vertical="top" wrapText="1"/>
    </xf>
    <xf numFmtId="0" fontId="125" fillId="5" borderId="85" xfId="0" applyFont="1" applyFill="1" applyBorder="1" applyAlignment="1">
      <alignment horizontal="right" vertical="center"/>
    </xf>
    <xf numFmtId="0" fontId="128" fillId="5" borderId="85" xfId="0" applyFont="1" applyFill="1" applyBorder="1" applyAlignment="1">
      <alignment vertical="center"/>
    </xf>
    <xf numFmtId="0" fontId="123" fillId="0" borderId="85" xfId="0" applyFont="1" applyBorder="1" applyAlignment="1">
      <alignment horizontal="right" vertical="center"/>
    </xf>
    <xf numFmtId="0" fontId="123" fillId="29" borderId="85" xfId="0" applyFont="1" applyFill="1" applyBorder="1" applyAlignment="1">
      <alignment vertical="center"/>
    </xf>
    <xf numFmtId="0" fontId="124" fillId="5" borderId="85" xfId="0" applyFont="1" applyFill="1" applyBorder="1"/>
    <xf numFmtId="0" fontId="123" fillId="5" borderId="85" xfId="0" applyFont="1" applyFill="1" applyBorder="1"/>
    <xf numFmtId="0" fontId="123" fillId="5" borderId="0" xfId="0" applyFont="1" applyFill="1"/>
    <xf numFmtId="0" fontId="3" fillId="21" borderId="9" xfId="0" applyFont="1" applyFill="1" applyBorder="1"/>
    <xf numFmtId="0" fontId="3" fillId="8" borderId="23" xfId="0" applyFont="1" applyFill="1" applyBorder="1" applyAlignment="1">
      <alignment vertical="center"/>
    </xf>
    <xf numFmtId="0" fontId="4" fillId="15" borderId="63" xfId="0" applyFont="1" applyFill="1" applyBorder="1" applyAlignment="1">
      <alignment vertical="center"/>
    </xf>
    <xf numFmtId="0" fontId="37" fillId="0" borderId="99" xfId="0" applyFont="1" applyBorder="1" applyAlignment="1">
      <alignment vertical="top"/>
    </xf>
    <xf numFmtId="0" fontId="37" fillId="5" borderId="99" xfId="0" applyFont="1" applyFill="1" applyBorder="1" applyAlignment="1">
      <alignment vertical="top"/>
    </xf>
    <xf numFmtId="0" fontId="0" fillId="5" borderId="99" xfId="0" applyFill="1" applyBorder="1" applyAlignment="1">
      <alignment horizontal="center"/>
    </xf>
    <xf numFmtId="0" fontId="47" fillId="0" borderId="0" xfId="0" applyFont="1" applyAlignment="1">
      <alignment vertical="center"/>
    </xf>
    <xf numFmtId="0" fontId="87" fillId="5" borderId="0" xfId="0" applyFont="1" applyFill="1" applyAlignment="1">
      <alignment horizontal="right"/>
    </xf>
    <xf numFmtId="0" fontId="0" fillId="20" borderId="137" xfId="0" applyFill="1" applyBorder="1"/>
    <xf numFmtId="0" fontId="4" fillId="25" borderId="137" xfId="0" applyFont="1" applyFill="1" applyBorder="1" applyAlignment="1">
      <alignment horizontal="left" vertical="center"/>
    </xf>
    <xf numFmtId="0" fontId="0" fillId="19" borderId="0" xfId="0" applyFill="1" applyAlignment="1" applyProtection="1">
      <alignment vertical="center"/>
      <protection locked="0"/>
    </xf>
    <xf numFmtId="0" fontId="65" fillId="19" borderId="0" xfId="0" applyFont="1" applyFill="1" applyAlignment="1">
      <alignment vertical="center"/>
    </xf>
    <xf numFmtId="0" fontId="14" fillId="5" borderId="0" xfId="0" applyFont="1" applyFill="1" applyAlignment="1">
      <alignment horizontal="left"/>
    </xf>
    <xf numFmtId="10" fontId="78" fillId="20" borderId="0" xfId="0" applyNumberFormat="1" applyFont="1" applyFill="1" applyAlignment="1">
      <alignment vertical="center"/>
    </xf>
    <xf numFmtId="10" fontId="77" fillId="20" borderId="0" xfId="0" applyNumberFormat="1" applyFont="1" applyFill="1" applyAlignment="1">
      <alignment vertical="center"/>
    </xf>
    <xf numFmtId="10" fontId="72" fillId="20" borderId="0" xfId="0" applyNumberFormat="1" applyFont="1" applyFill="1" applyAlignment="1">
      <alignment vertical="center"/>
    </xf>
    <xf numFmtId="10" fontId="82" fillId="20" borderId="33" xfId="0" applyNumberFormat="1" applyFont="1" applyFill="1" applyBorder="1" applyAlignment="1">
      <alignment vertical="center"/>
    </xf>
    <xf numFmtId="0" fontId="0" fillId="5" borderId="9" xfId="0" applyFill="1" applyBorder="1" applyProtection="1">
      <protection locked="0"/>
    </xf>
    <xf numFmtId="0" fontId="8" fillId="0" borderId="0" xfId="0" applyFont="1" applyAlignment="1">
      <alignment vertical="top" wrapText="1"/>
    </xf>
    <xf numFmtId="0" fontId="8" fillId="0" borderId="0" xfId="0" applyFont="1" applyAlignment="1">
      <alignment horizontal="center" vertical="top"/>
    </xf>
    <xf numFmtId="0" fontId="3" fillId="0" borderId="0" xfId="0" applyFont="1"/>
    <xf numFmtId="0" fontId="0" fillId="0" borderId="0" xfId="0" applyAlignment="1">
      <alignment horizontal="left"/>
    </xf>
    <xf numFmtId="0" fontId="8" fillId="0" borderId="0" xfId="0" applyFont="1" applyAlignment="1">
      <alignment horizontal="left"/>
    </xf>
    <xf numFmtId="0" fontId="3" fillId="0" borderId="0" xfId="0" applyFont="1" applyAlignment="1">
      <alignment horizontal="left"/>
    </xf>
    <xf numFmtId="0" fontId="121" fillId="5" borderId="0" xfId="0" applyFont="1" applyFill="1"/>
    <xf numFmtId="10" fontId="0" fillId="5" borderId="0" xfId="0" applyNumberFormat="1" applyFill="1" applyAlignment="1">
      <alignment horizontal="left"/>
    </xf>
    <xf numFmtId="0" fontId="114" fillId="5" borderId="0" xfId="0" applyFont="1" applyFill="1"/>
    <xf numFmtId="0" fontId="115" fillId="5" borderId="0" xfId="0" applyFont="1" applyFill="1"/>
    <xf numFmtId="0" fontId="3" fillId="19" borderId="89" xfId="0" applyFont="1" applyFill="1" applyBorder="1" applyAlignment="1">
      <alignment horizontal="right" vertical="center"/>
    </xf>
    <xf numFmtId="0" fontId="117" fillId="5" borderId="0" xfId="0" applyFont="1" applyFill="1" applyAlignment="1">
      <alignment horizontal="center" vertical="center"/>
    </xf>
    <xf numFmtId="0" fontId="117" fillId="5" borderId="98" xfId="0" applyFont="1" applyFill="1" applyBorder="1" applyAlignment="1">
      <alignment vertical="center"/>
    </xf>
    <xf numFmtId="0" fontId="80" fillId="0" borderId="0" xfId="0" applyFont="1" applyAlignment="1">
      <alignment vertical="center"/>
    </xf>
    <xf numFmtId="0" fontId="1" fillId="0" borderId="0" xfId="0" applyFont="1" applyAlignment="1">
      <alignment vertical="top"/>
    </xf>
    <xf numFmtId="0" fontId="129" fillId="0" borderId="0" xfId="0" applyFont="1" applyAlignment="1">
      <alignment vertical="center"/>
    </xf>
    <xf numFmtId="0" fontId="81" fillId="0" borderId="0" xfId="0" applyFont="1" applyAlignment="1">
      <alignment vertical="center"/>
    </xf>
    <xf numFmtId="0" fontId="3" fillId="19" borderId="93" xfId="0" applyFont="1" applyFill="1" applyBorder="1" applyAlignment="1">
      <alignment horizontal="right" vertical="center"/>
    </xf>
    <xf numFmtId="164" fontId="106" fillId="5" borderId="0" xfId="0" applyNumberFormat="1" applyFont="1" applyFill="1" applyAlignment="1" applyProtection="1">
      <alignment horizontal="right" vertical="top"/>
      <protection hidden="1"/>
    </xf>
    <xf numFmtId="0" fontId="106" fillId="5" borderId="0" xfId="0" applyFont="1" applyFill="1" applyAlignment="1">
      <alignment horizontal="left" vertical="top"/>
    </xf>
    <xf numFmtId="0" fontId="106" fillId="5" borderId="0" xfId="0" applyFont="1" applyFill="1" applyAlignment="1">
      <alignment horizontal="left" vertical="top" wrapText="1"/>
    </xf>
    <xf numFmtId="0" fontId="106" fillId="5" borderId="0" xfId="0" applyFont="1" applyFill="1" applyAlignment="1" applyProtection="1">
      <alignment horizontal="left"/>
      <protection locked="0"/>
    </xf>
    <xf numFmtId="0" fontId="106" fillId="5" borderId="0" xfId="0" applyFont="1" applyFill="1"/>
    <xf numFmtId="0" fontId="106" fillId="5" borderId="0" xfId="0" applyFont="1" applyFill="1" applyAlignment="1">
      <alignment horizontal="right" vertical="top"/>
    </xf>
    <xf numFmtId="0" fontId="106" fillId="5" borderId="0" xfId="0" applyFont="1" applyFill="1" applyProtection="1">
      <protection locked="0"/>
    </xf>
    <xf numFmtId="0" fontId="106" fillId="5" borderId="0" xfId="1" applyFont="1" applyFill="1" applyBorder="1" applyAlignment="1" applyProtection="1">
      <alignment horizontal="right" vertical="top" wrapText="1"/>
    </xf>
    <xf numFmtId="0" fontId="135" fillId="5" borderId="0" xfId="0" applyFont="1" applyFill="1" applyAlignment="1">
      <alignment horizontal="left" vertical="top" wrapText="1"/>
    </xf>
    <xf numFmtId="0" fontId="134" fillId="0" borderId="0" xfId="0" applyFont="1" applyAlignment="1">
      <alignment horizontal="left" vertical="center"/>
    </xf>
    <xf numFmtId="0" fontId="134" fillId="0" borderId="0" xfId="0" applyFont="1" applyAlignment="1">
      <alignment horizontal="center" vertical="center"/>
    </xf>
    <xf numFmtId="0" fontId="3" fillId="0" borderId="62" xfId="0" applyFont="1" applyBorder="1" applyAlignment="1">
      <alignment vertical="center"/>
    </xf>
    <xf numFmtId="0" fontId="37" fillId="0" borderId="2" xfId="0" applyFont="1" applyBorder="1" applyAlignment="1">
      <alignment vertical="top"/>
    </xf>
    <xf numFmtId="0" fontId="8" fillId="5" borderId="16" xfId="0" applyFont="1" applyFill="1" applyBorder="1" applyAlignment="1">
      <alignment horizontal="right" vertical="top"/>
    </xf>
    <xf numFmtId="0" fontId="105" fillId="5" borderId="6" xfId="0" applyFont="1" applyFill="1" applyBorder="1"/>
    <xf numFmtId="0" fontId="134" fillId="5" borderId="0" xfId="0" applyFont="1" applyFill="1" applyAlignment="1">
      <alignment horizontal="left" vertical="center"/>
    </xf>
    <xf numFmtId="0" fontId="118" fillId="5" borderId="0" xfId="0" applyFont="1" applyFill="1" applyAlignment="1">
      <alignment vertical="center"/>
    </xf>
    <xf numFmtId="0" fontId="118" fillId="5" borderId="0" xfId="0" applyFont="1" applyFill="1" applyAlignment="1">
      <alignment horizontal="center" vertical="center"/>
    </xf>
    <xf numFmtId="0" fontId="13" fillId="5" borderId="0" xfId="0" applyFont="1" applyFill="1" applyAlignment="1">
      <alignment horizontal="left" vertical="center"/>
    </xf>
    <xf numFmtId="0" fontId="4" fillId="5" borderId="3" xfId="0" applyFont="1" applyFill="1" applyBorder="1" applyAlignment="1">
      <alignment vertical="center"/>
    </xf>
    <xf numFmtId="0" fontId="3" fillId="5" borderId="0" xfId="0" applyFont="1" applyFill="1" applyAlignment="1">
      <alignment vertical="top" wrapText="1"/>
    </xf>
    <xf numFmtId="0" fontId="8" fillId="5" borderId="5" xfId="0" applyFont="1" applyFill="1" applyBorder="1" applyAlignment="1">
      <alignment horizontal="center"/>
    </xf>
    <xf numFmtId="0" fontId="8" fillId="5" borderId="7" xfId="0" applyFont="1" applyFill="1" applyBorder="1" applyAlignment="1">
      <alignment horizontal="center"/>
    </xf>
    <xf numFmtId="0" fontId="8" fillId="5" borderId="15"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17" xfId="0" applyFont="1" applyFill="1" applyBorder="1" applyAlignment="1">
      <alignment horizontal="center" vertical="center"/>
    </xf>
    <xf numFmtId="0" fontId="0" fillId="5" borderId="0" xfId="0" applyFill="1" applyAlignment="1">
      <alignment horizontal="right" vertical="top" wrapText="1"/>
    </xf>
    <xf numFmtId="0" fontId="3" fillId="5" borderId="141" xfId="0" applyFont="1" applyFill="1" applyBorder="1"/>
    <xf numFmtId="0" fontId="123" fillId="5" borderId="0" xfId="0" applyFont="1" applyFill="1" applyAlignment="1">
      <alignment horizontal="left" vertical="top" wrapText="1"/>
    </xf>
    <xf numFmtId="0" fontId="0" fillId="19" borderId="172" xfId="0" applyFill="1" applyBorder="1"/>
    <xf numFmtId="0" fontId="0" fillId="5" borderId="172" xfId="0" applyFill="1" applyBorder="1"/>
    <xf numFmtId="0" fontId="0" fillId="5" borderId="173" xfId="0" applyFill="1" applyBorder="1"/>
    <xf numFmtId="0" fontId="3" fillId="5" borderId="173" xfId="0" applyFont="1" applyFill="1" applyBorder="1"/>
    <xf numFmtId="0" fontId="0" fillId="5" borderId="90" xfId="0" applyFill="1" applyBorder="1"/>
    <xf numFmtId="0" fontId="1" fillId="5" borderId="0" xfId="0" applyFont="1" applyFill="1" applyAlignment="1">
      <alignment horizontal="right" vertical="center"/>
    </xf>
    <xf numFmtId="0" fontId="1" fillId="5" borderId="0" xfId="0" applyFont="1" applyFill="1" applyAlignment="1">
      <alignment horizontal="right"/>
    </xf>
    <xf numFmtId="0" fontId="16" fillId="5" borderId="0" xfId="0" applyFont="1" applyFill="1" applyAlignment="1">
      <alignment vertical="center"/>
    </xf>
    <xf numFmtId="0" fontId="86" fillId="5" borderId="0" xfId="0" applyFont="1" applyFill="1" applyAlignment="1">
      <alignment vertical="center"/>
    </xf>
    <xf numFmtId="0" fontId="93" fillId="5" borderId="0" xfId="0" applyFont="1" applyFill="1" applyAlignment="1">
      <alignment vertical="top" wrapText="1"/>
    </xf>
    <xf numFmtId="0" fontId="27" fillId="5" borderId="0" xfId="0" applyFont="1" applyFill="1" applyAlignment="1">
      <alignment horizontal="left" vertical="top" wrapText="1"/>
    </xf>
    <xf numFmtId="0" fontId="94" fillId="5" borderId="0" xfId="0" applyFont="1" applyFill="1"/>
    <xf numFmtId="0" fontId="94" fillId="5" borderId="0" xfId="0" applyFont="1" applyFill="1" applyAlignment="1">
      <alignment horizontal="center"/>
    </xf>
    <xf numFmtId="0" fontId="40" fillId="5" borderId="0" xfId="0" applyFont="1" applyFill="1" applyAlignment="1">
      <alignment horizontal="center"/>
    </xf>
    <xf numFmtId="0" fontId="18" fillId="5" borderId="0" xfId="0" applyFont="1" applyFill="1" applyAlignment="1">
      <alignment vertical="center"/>
    </xf>
    <xf numFmtId="0" fontId="23" fillId="5" borderId="6" xfId="0" applyFont="1" applyFill="1" applyBorder="1" applyAlignment="1">
      <alignment horizontal="left"/>
    </xf>
    <xf numFmtId="10" fontId="0" fillId="21" borderId="12" xfId="0" applyNumberFormat="1" applyFill="1" applyBorder="1" applyAlignment="1">
      <alignment horizontal="center"/>
    </xf>
    <xf numFmtId="10" fontId="0" fillId="5" borderId="11" xfId="0" applyNumberFormat="1" applyFill="1" applyBorder="1" applyAlignment="1">
      <alignment horizontal="center" wrapText="1"/>
    </xf>
    <xf numFmtId="10" fontId="0" fillId="21" borderId="9" xfId="0" applyNumberFormat="1" applyFill="1" applyBorder="1" applyAlignment="1">
      <alignment horizontal="center"/>
    </xf>
    <xf numFmtId="10" fontId="0" fillId="21" borderId="0" xfId="0" applyNumberFormat="1" applyFill="1" applyAlignment="1">
      <alignment horizontal="center"/>
    </xf>
    <xf numFmtId="0" fontId="0" fillId="21" borderId="9" xfId="0" applyFill="1" applyBorder="1" applyAlignment="1">
      <alignment horizontal="center"/>
    </xf>
    <xf numFmtId="0" fontId="0" fillId="21" borderId="6" xfId="0" applyFill="1" applyBorder="1" applyAlignment="1">
      <alignment horizontal="center"/>
    </xf>
    <xf numFmtId="10" fontId="0" fillId="21" borderId="0" xfId="0" applyNumberFormat="1" applyFill="1"/>
    <xf numFmtId="10" fontId="14" fillId="11" borderId="12" xfId="0" applyNumberFormat="1" applyFont="1" applyFill="1" applyBorder="1" applyAlignment="1">
      <alignment horizontal="center" wrapText="1"/>
    </xf>
    <xf numFmtId="10" fontId="0" fillId="11" borderId="12" xfId="0" applyNumberFormat="1" applyFill="1" applyBorder="1" applyAlignment="1">
      <alignment horizontal="center" wrapText="1"/>
    </xf>
    <xf numFmtId="10" fontId="0" fillId="13" borderId="12" xfId="0" applyNumberFormat="1" applyFill="1" applyBorder="1" applyAlignment="1">
      <alignment horizontal="center" wrapText="1"/>
    </xf>
    <xf numFmtId="10" fontId="0" fillId="13" borderId="0" xfId="0" applyNumberFormat="1" applyFill="1" applyAlignment="1">
      <alignment horizontal="center"/>
    </xf>
    <xf numFmtId="0" fontId="0" fillId="13" borderId="12" xfId="0" applyFill="1" applyBorder="1"/>
    <xf numFmtId="10" fontId="0" fillId="9" borderId="12" xfId="0" applyNumberFormat="1" applyFill="1" applyBorder="1"/>
    <xf numFmtId="10" fontId="0" fillId="21" borderId="12" xfId="0" applyNumberFormat="1" applyFill="1" applyBorder="1"/>
    <xf numFmtId="10" fontId="0" fillId="5" borderId="12" xfId="0" applyNumberFormat="1" applyFill="1" applyBorder="1"/>
    <xf numFmtId="2" fontId="0" fillId="6" borderId="11" xfId="0" applyNumberFormat="1" applyFill="1" applyBorder="1" applyAlignment="1">
      <alignment horizontal="left"/>
    </xf>
    <xf numFmtId="0" fontId="0" fillId="9" borderId="13" xfId="0" applyFill="1" applyBorder="1" applyAlignment="1">
      <alignment wrapText="1"/>
    </xf>
    <xf numFmtId="0" fontId="125" fillId="5" borderId="88" xfId="0" applyFont="1" applyFill="1" applyBorder="1" applyAlignment="1">
      <alignment vertical="center"/>
    </xf>
    <xf numFmtId="0" fontId="123" fillId="23" borderId="174" xfId="0" applyFont="1" applyFill="1" applyBorder="1" applyAlignment="1">
      <alignment horizontal="right" vertical="center"/>
    </xf>
    <xf numFmtId="0" fontId="123" fillId="20" borderId="174" xfId="0" applyFont="1" applyFill="1" applyBorder="1" applyAlignment="1">
      <alignment vertical="center"/>
    </xf>
    <xf numFmtId="0" fontId="123" fillId="5" borderId="0" xfId="0" applyFont="1" applyFill="1" applyAlignment="1">
      <alignment horizontal="right" vertical="center"/>
    </xf>
    <xf numFmtId="0" fontId="123" fillId="5" borderId="0" xfId="0" applyFont="1" applyFill="1" applyAlignment="1">
      <alignment vertical="center"/>
    </xf>
    <xf numFmtId="0" fontId="14" fillId="5" borderId="0" xfId="0" applyFont="1" applyFill="1" applyAlignment="1">
      <alignment wrapText="1"/>
    </xf>
    <xf numFmtId="0" fontId="136" fillId="5" borderId="0" xfId="0" applyFont="1" applyFill="1" applyAlignment="1">
      <alignment vertical="top" wrapText="1"/>
    </xf>
    <xf numFmtId="0" fontId="123" fillId="5" borderId="0" xfId="0" applyFont="1" applyFill="1" applyAlignment="1">
      <alignment horizontal="right"/>
    </xf>
    <xf numFmtId="0" fontId="126" fillId="5" borderId="0" xfId="0" applyFont="1" applyFill="1" applyAlignment="1">
      <alignment vertical="center"/>
    </xf>
    <xf numFmtId="0" fontId="137" fillId="5" borderId="0" xfId="0" applyFont="1" applyFill="1" applyAlignment="1">
      <alignment horizontal="center"/>
    </xf>
    <xf numFmtId="0" fontId="138" fillId="5" borderId="0" xfId="0" applyFont="1" applyFill="1"/>
    <xf numFmtId="0" fontId="138" fillId="5" borderId="0" xfId="0" applyFont="1" applyFill="1" applyAlignment="1">
      <alignment horizontal="center"/>
    </xf>
    <xf numFmtId="0" fontId="137" fillId="5" borderId="0" xfId="0" applyFont="1" applyFill="1"/>
    <xf numFmtId="0" fontId="138" fillId="5" borderId="0" xfId="0" applyFont="1" applyFill="1" applyAlignment="1">
      <alignment horizontal="center" vertical="center"/>
    </xf>
    <xf numFmtId="0" fontId="138" fillId="5" borderId="0" xfId="0" applyFont="1" applyFill="1" applyAlignment="1">
      <alignment horizontal="center" vertical="center" wrapText="1"/>
    </xf>
    <xf numFmtId="0" fontId="138" fillId="10" borderId="53" xfId="0" applyFont="1" applyFill="1" applyBorder="1" applyAlignment="1" applyProtection="1">
      <alignment horizontal="center" vertical="center" wrapText="1"/>
      <protection locked="0"/>
    </xf>
    <xf numFmtId="0" fontId="138" fillId="5" borderId="0" xfId="0" applyFont="1" applyFill="1" applyAlignment="1" applyProtection="1">
      <alignment horizontal="center" vertical="center" wrapText="1"/>
      <protection locked="0"/>
    </xf>
    <xf numFmtId="0" fontId="3" fillId="27" borderId="0" xfId="0" applyFont="1" applyFill="1"/>
    <xf numFmtId="0" fontId="59" fillId="5" borderId="0" xfId="0" applyFont="1" applyFill="1"/>
    <xf numFmtId="0" fontId="0" fillId="0" borderId="1" xfId="0" applyBorder="1" applyAlignment="1">
      <alignment horizontal="right"/>
    </xf>
    <xf numFmtId="0" fontId="0" fillId="0" borderId="17" xfId="0" applyBorder="1" applyAlignment="1">
      <alignment horizontal="left" vertical="top" wrapText="1"/>
    </xf>
    <xf numFmtId="0" fontId="0" fillId="5" borderId="11" xfId="0" applyFill="1" applyBorder="1" applyAlignment="1">
      <alignment horizontal="right"/>
    </xf>
    <xf numFmtId="0" fontId="0" fillId="5" borderId="44" xfId="0" applyFill="1" applyBorder="1" applyAlignment="1">
      <alignment horizontal="right"/>
    </xf>
    <xf numFmtId="0" fontId="16" fillId="20" borderId="0" xfId="0" applyFont="1" applyFill="1" applyAlignment="1">
      <alignment horizontal="left" vertical="center"/>
    </xf>
    <xf numFmtId="0" fontId="8" fillId="20" borderId="0" xfId="0" applyFont="1" applyFill="1" applyAlignment="1">
      <alignment horizontal="left" vertical="center"/>
    </xf>
    <xf numFmtId="0" fontId="17" fillId="20" borderId="0" xfId="0" applyFont="1" applyFill="1" applyAlignment="1">
      <alignment horizontal="left" vertical="center"/>
    </xf>
    <xf numFmtId="0" fontId="26" fillId="20" borderId="0" xfId="0" applyFont="1" applyFill="1"/>
    <xf numFmtId="0" fontId="3" fillId="20" borderId="0" xfId="0" applyFont="1" applyFill="1"/>
    <xf numFmtId="0" fontId="127" fillId="10" borderId="85" xfId="0" applyFont="1" applyFill="1" applyBorder="1" applyAlignment="1">
      <alignment vertical="center"/>
    </xf>
    <xf numFmtId="0" fontId="123" fillId="34" borderId="85" xfId="0" applyFont="1" applyFill="1" applyBorder="1" applyAlignment="1">
      <alignment horizontal="right" vertical="center"/>
    </xf>
    <xf numFmtId="0" fontId="127" fillId="34" borderId="85" xfId="0" applyFont="1" applyFill="1" applyBorder="1" applyAlignment="1">
      <alignment horizontal="right" vertical="center"/>
    </xf>
    <xf numFmtId="0" fontId="79" fillId="10" borderId="0" xfId="0" applyFont="1" applyFill="1" applyAlignment="1">
      <alignment vertical="center"/>
    </xf>
    <xf numFmtId="0" fontId="80" fillId="10" borderId="86" xfId="0" applyFont="1" applyFill="1" applyBorder="1" applyAlignment="1">
      <alignment vertical="center"/>
    </xf>
    <xf numFmtId="0" fontId="80" fillId="10" borderId="0" xfId="0" applyFont="1" applyFill="1" applyAlignment="1">
      <alignment vertical="center"/>
    </xf>
    <xf numFmtId="0" fontId="84" fillId="10" borderId="86" xfId="0" applyFont="1" applyFill="1" applyBorder="1" applyAlignment="1">
      <alignment vertical="center"/>
    </xf>
    <xf numFmtId="0" fontId="84" fillId="10" borderId="0" xfId="0" applyFont="1" applyFill="1" applyAlignment="1">
      <alignment vertical="center"/>
    </xf>
    <xf numFmtId="0" fontId="81" fillId="10" borderId="58" xfId="0" applyFont="1" applyFill="1" applyBorder="1" applyAlignment="1">
      <alignment vertical="center"/>
    </xf>
    <xf numFmtId="0" fontId="81" fillId="10" borderId="142" xfId="0" applyFont="1" applyFill="1" applyBorder="1" applyAlignment="1">
      <alignment vertical="center"/>
    </xf>
    <xf numFmtId="0" fontId="81" fillId="10" borderId="59" xfId="0" applyFont="1" applyFill="1" applyBorder="1" applyAlignment="1">
      <alignment vertical="center"/>
    </xf>
    <xf numFmtId="0" fontId="134" fillId="5" borderId="0" xfId="0" applyFont="1" applyFill="1" applyAlignment="1">
      <alignment vertical="center"/>
    </xf>
    <xf numFmtId="10" fontId="0" fillId="6" borderId="10" xfId="0" applyNumberFormat="1" applyFill="1" applyBorder="1" applyAlignment="1">
      <alignment horizontal="center"/>
    </xf>
    <xf numFmtId="10" fontId="8" fillId="6" borderId="9" xfId="0" applyNumberFormat="1" applyFont="1" applyFill="1" applyBorder="1" applyAlignment="1">
      <alignment horizontal="center" wrapText="1"/>
    </xf>
    <xf numFmtId="10" fontId="8" fillId="6" borderId="11" xfId="0" applyNumberFormat="1" applyFont="1" applyFill="1" applyBorder="1" applyAlignment="1">
      <alignment horizontal="center" wrapText="1"/>
    </xf>
    <xf numFmtId="10" fontId="0" fillId="6" borderId="12" xfId="0" applyNumberFormat="1" applyFill="1" applyBorder="1" applyAlignment="1">
      <alignment horizontal="center"/>
    </xf>
    <xf numFmtId="10" fontId="0" fillId="8" borderId="10" xfId="0" applyNumberFormat="1" applyFill="1" applyBorder="1" applyAlignment="1">
      <alignment horizontal="center"/>
    </xf>
    <xf numFmtId="10" fontId="0" fillId="8" borderId="12" xfId="0" applyNumberFormat="1" applyFill="1" applyBorder="1"/>
    <xf numFmtId="10" fontId="0" fillId="9" borderId="10" xfId="0" applyNumberFormat="1" applyFill="1" applyBorder="1" applyAlignment="1">
      <alignment horizontal="center" wrapText="1"/>
    </xf>
    <xf numFmtId="0" fontId="0" fillId="5" borderId="12" xfId="0" applyFill="1" applyBorder="1" applyAlignment="1">
      <alignment horizontal="center"/>
    </xf>
    <xf numFmtId="10" fontId="0" fillId="21" borderId="0" xfId="0" applyNumberFormat="1" applyFill="1" applyAlignment="1">
      <alignment horizontal="center" vertical="center"/>
    </xf>
    <xf numFmtId="10" fontId="0" fillId="5" borderId="0" xfId="0" applyNumberFormat="1" applyFill="1"/>
    <xf numFmtId="0" fontId="0" fillId="21" borderId="12" xfId="0" applyFill="1" applyBorder="1" applyAlignment="1">
      <alignment horizontal="center"/>
    </xf>
    <xf numFmtId="0" fontId="0" fillId="5" borderId="12" xfId="0" applyFill="1" applyBorder="1" applyAlignment="1">
      <alignment horizontal="center" vertical="center"/>
    </xf>
    <xf numFmtId="10" fontId="14" fillId="6" borderId="12" xfId="2" applyNumberFormat="1" applyFont="1" applyFill="1" applyBorder="1" applyAlignment="1">
      <alignment wrapText="1"/>
    </xf>
    <xf numFmtId="0" fontId="27" fillId="5" borderId="0" xfId="0" applyFont="1" applyFill="1" applyAlignment="1">
      <alignment horizontal="right"/>
    </xf>
    <xf numFmtId="0" fontId="0" fillId="7" borderId="0" xfId="0" applyFill="1" applyProtection="1">
      <protection locked="0"/>
    </xf>
    <xf numFmtId="0" fontId="51" fillId="7" borderId="0" xfId="0" applyFont="1" applyFill="1" applyAlignment="1" applyProtection="1">
      <alignment wrapText="1"/>
      <protection locked="0"/>
    </xf>
    <xf numFmtId="0" fontId="8" fillId="7" borderId="0" xfId="0" applyFont="1" applyFill="1" applyProtection="1">
      <protection locked="0"/>
    </xf>
    <xf numFmtId="0" fontId="51" fillId="7" borderId="0" xfId="0" applyFont="1" applyFill="1" applyProtection="1">
      <protection locked="0"/>
    </xf>
    <xf numFmtId="0" fontId="14" fillId="22" borderId="4" xfId="0" applyFont="1" applyFill="1" applyBorder="1"/>
    <xf numFmtId="0" fontId="19" fillId="35" borderId="85" xfId="0" applyFont="1" applyFill="1" applyBorder="1" applyAlignment="1">
      <alignment horizontal="right" vertical="center"/>
    </xf>
    <xf numFmtId="0" fontId="0" fillId="10" borderId="0" xfId="0" applyFill="1" applyProtection="1">
      <protection locked="0"/>
    </xf>
    <xf numFmtId="0" fontId="8" fillId="0" borderId="0" xfId="0" applyFont="1" applyAlignment="1">
      <alignment vertical="center"/>
    </xf>
    <xf numFmtId="0" fontId="8" fillId="0" borderId="0" xfId="0" applyFont="1"/>
    <xf numFmtId="0" fontId="85" fillId="0" borderId="0" xfId="0" applyFont="1" applyAlignme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8" fillId="0" borderId="0" xfId="0" applyFont="1" applyAlignment="1">
      <alignment horizontal="center"/>
    </xf>
    <xf numFmtId="0" fontId="140" fillId="0" borderId="0" xfId="0" applyFont="1" applyAlignment="1">
      <alignment vertical="center"/>
    </xf>
    <xf numFmtId="0" fontId="141" fillId="0" borderId="0" xfId="0" applyFont="1" applyAlignment="1">
      <alignment vertical="center"/>
    </xf>
    <xf numFmtId="0" fontId="143" fillId="0" borderId="0" xfId="0" applyFont="1" applyAlignment="1">
      <alignment horizontal="left" vertical="center"/>
    </xf>
    <xf numFmtId="0" fontId="143" fillId="0" borderId="0" xfId="0" applyFont="1" applyAlignment="1">
      <alignment vertical="center"/>
    </xf>
    <xf numFmtId="0" fontId="8" fillId="0" borderId="0" xfId="0" applyFont="1" applyAlignment="1">
      <alignment horizontal="center" vertical="center"/>
    </xf>
    <xf numFmtId="0" fontId="142" fillId="0" borderId="0" xfId="0" applyFont="1" applyAlignment="1">
      <alignment vertical="center"/>
    </xf>
    <xf numFmtId="0" fontId="57" fillId="0" borderId="0" xfId="0" applyFont="1" applyAlignment="1">
      <alignment vertical="top" wrapText="1"/>
    </xf>
    <xf numFmtId="0" fontId="17" fillId="0" borderId="0" xfId="0" applyFont="1" applyAlignment="1">
      <alignment wrapText="1"/>
    </xf>
    <xf numFmtId="0" fontId="17" fillId="0" borderId="0" xfId="0" applyFont="1" applyAlignment="1">
      <alignment horizontal="left" wrapText="1"/>
    </xf>
    <xf numFmtId="0" fontId="57" fillId="0" borderId="0" xfId="0" applyFont="1" applyAlignment="1">
      <alignment wrapText="1"/>
    </xf>
    <xf numFmtId="0" fontId="57" fillId="0" borderId="0" xfId="0" applyFont="1" applyAlignment="1">
      <alignment horizontal="center" wrapText="1"/>
    </xf>
    <xf numFmtId="0" fontId="29" fillId="0" borderId="0" xfId="0" applyFont="1" applyAlignment="1">
      <alignment vertical="top" wrapText="1"/>
    </xf>
    <xf numFmtId="0" fontId="3" fillId="0" borderId="0" xfId="0" applyFont="1" applyAlignment="1">
      <alignment horizontal="left" wrapText="1"/>
    </xf>
    <xf numFmtId="0" fontId="40" fillId="0" borderId="0" xfId="0" applyFont="1"/>
    <xf numFmtId="0" fontId="3" fillId="0" borderId="0" xfId="0" applyFont="1" applyAlignment="1">
      <alignment horizontal="center"/>
    </xf>
    <xf numFmtId="0" fontId="116" fillId="0" borderId="0" xfId="0" applyFont="1" applyAlignment="1">
      <alignment vertical="center"/>
    </xf>
    <xf numFmtId="0" fontId="2" fillId="0" borderId="0" xfId="0" applyFont="1" applyAlignment="1">
      <alignment vertical="center"/>
    </xf>
    <xf numFmtId="0" fontId="19" fillId="0" borderId="0" xfId="0" applyFont="1" applyAlignment="1">
      <alignment horizontal="right" vertical="center"/>
    </xf>
    <xf numFmtId="0" fontId="1" fillId="5" borderId="0" xfId="0" applyFont="1" applyFill="1" applyAlignment="1">
      <alignment horizontal="left" vertical="top" wrapText="1"/>
    </xf>
    <xf numFmtId="0" fontId="144" fillId="0" borderId="0" xfId="0" applyFont="1" applyAlignment="1">
      <alignment horizontal="center" vertical="center"/>
    </xf>
    <xf numFmtId="0" fontId="23" fillId="0" borderId="8" xfId="0" applyFont="1" applyBorder="1" applyAlignment="1">
      <alignment vertical="top" wrapText="1"/>
    </xf>
    <xf numFmtId="0" fontId="23" fillId="0" borderId="11" xfId="0" applyFont="1" applyBorder="1" applyAlignment="1">
      <alignment vertical="top" wrapText="1"/>
    </xf>
    <xf numFmtId="0" fontId="8" fillId="0" borderId="11" xfId="0" applyFont="1" applyBorder="1" applyAlignment="1">
      <alignment vertical="top" wrapText="1"/>
    </xf>
    <xf numFmtId="0" fontId="8" fillId="0" borderId="17" xfId="0" applyFont="1" applyBorder="1"/>
    <xf numFmtId="0" fontId="23" fillId="0" borderId="10" xfId="0" applyFont="1" applyBorder="1"/>
    <xf numFmtId="49" fontId="8" fillId="0" borderId="16" xfId="0" applyNumberFormat="1" applyFont="1" applyBorder="1" applyAlignment="1">
      <alignment horizontal="right"/>
    </xf>
    <xf numFmtId="0" fontId="23" fillId="5" borderId="11" xfId="0" applyFont="1" applyFill="1" applyBorder="1" applyAlignment="1">
      <alignment vertical="top" wrapText="1"/>
    </xf>
    <xf numFmtId="0" fontId="8" fillId="5" borderId="11" xfId="0" applyFont="1" applyFill="1" applyBorder="1" applyAlignment="1">
      <alignment vertical="top" wrapText="1"/>
    </xf>
    <xf numFmtId="1" fontId="8" fillId="5" borderId="12" xfId="0" applyNumberFormat="1" applyFont="1" applyFill="1" applyBorder="1"/>
    <xf numFmtId="165" fontId="8" fillId="5" borderId="12" xfId="0" applyNumberFormat="1" applyFont="1" applyFill="1" applyBorder="1"/>
    <xf numFmtId="0" fontId="8" fillId="6" borderId="46" xfId="0" applyFont="1" applyFill="1" applyBorder="1" applyAlignment="1">
      <alignment horizontal="left" vertical="top" wrapText="1"/>
    </xf>
    <xf numFmtId="0" fontId="8" fillId="6" borderId="12" xfId="0" applyFont="1" applyFill="1" applyBorder="1" applyAlignment="1">
      <alignment horizontal="left" vertical="top" wrapText="1"/>
    </xf>
    <xf numFmtId="0" fontId="8" fillId="6" borderId="17" xfId="0" applyFont="1" applyFill="1" applyBorder="1" applyAlignment="1">
      <alignment vertical="top" wrapText="1"/>
    </xf>
    <xf numFmtId="0" fontId="8" fillId="6" borderId="17" xfId="0" applyFont="1" applyFill="1" applyBorder="1" applyAlignment="1">
      <alignment wrapText="1"/>
    </xf>
    <xf numFmtId="0" fontId="0" fillId="6" borderId="29" xfId="0" applyFill="1" applyBorder="1" applyAlignment="1">
      <alignment horizontal="left" vertical="top" wrapText="1"/>
    </xf>
    <xf numFmtId="0" fontId="0" fillId="6" borderId="47" xfId="0" applyFill="1" applyBorder="1" applyAlignment="1">
      <alignment horizontal="left" vertical="top" wrapText="1"/>
    </xf>
    <xf numFmtId="0" fontId="0" fillId="6" borderId="14" xfId="0" applyFill="1" applyBorder="1" applyAlignment="1">
      <alignment horizontal="left" vertical="top" wrapText="1"/>
    </xf>
    <xf numFmtId="0" fontId="8" fillId="6" borderId="32" xfId="0" applyFont="1" applyFill="1" applyBorder="1" applyAlignment="1">
      <alignment vertical="top" wrapText="1"/>
    </xf>
    <xf numFmtId="0" fontId="8" fillId="6" borderId="14" xfId="0" applyFont="1" applyFill="1" applyBorder="1" applyAlignment="1">
      <alignment vertical="top" wrapText="1"/>
    </xf>
    <xf numFmtId="0" fontId="8" fillId="6" borderId="29" xfId="0" applyFont="1" applyFill="1" applyBorder="1" applyAlignment="1">
      <alignment vertical="top" wrapText="1"/>
    </xf>
    <xf numFmtId="0" fontId="22" fillId="5" borderId="0" xfId="0" applyFont="1" applyFill="1" applyAlignment="1">
      <alignment horizontal="left" vertical="top" wrapText="1"/>
    </xf>
    <xf numFmtId="0" fontId="26" fillId="5" borderId="0" xfId="0" applyFont="1" applyFill="1" applyAlignment="1">
      <alignment horizontal="left" vertical="top" wrapText="1"/>
    </xf>
    <xf numFmtId="0" fontId="14" fillId="5" borderId="5" xfId="0" applyFont="1" applyFill="1" applyBorder="1" applyAlignment="1">
      <alignment horizontal="center" wrapText="1"/>
    </xf>
    <xf numFmtId="0" fontId="14" fillId="5" borderId="6" xfId="0" applyFont="1" applyFill="1" applyBorder="1" applyAlignment="1">
      <alignment horizontal="center" wrapText="1"/>
    </xf>
    <xf numFmtId="0" fontId="0" fillId="0" borderId="13" xfId="0" applyBorder="1" applyAlignment="1">
      <alignment horizontal="right"/>
    </xf>
    <xf numFmtId="0" fontId="23" fillId="5" borderId="16" xfId="0" applyFont="1" applyFill="1" applyBorder="1" applyAlignment="1">
      <alignment horizontal="left" vertical="top" wrapText="1"/>
    </xf>
    <xf numFmtId="0" fontId="0" fillId="11" borderId="11" xfId="0" applyFill="1" applyBorder="1" applyAlignment="1">
      <alignment horizontal="right"/>
    </xf>
    <xf numFmtId="0" fontId="8" fillId="8" borderId="13" xfId="0" applyFont="1" applyFill="1" applyBorder="1"/>
    <xf numFmtId="0" fontId="0" fillId="5" borderId="48" xfId="0" applyFill="1" applyBorder="1" applyAlignment="1">
      <alignment horizontal="left" vertical="top" wrapText="1"/>
    </xf>
    <xf numFmtId="0" fontId="0" fillId="5" borderId="50" xfId="0" applyFill="1" applyBorder="1" applyAlignment="1">
      <alignment horizontal="left" vertical="top" wrapText="1"/>
    </xf>
    <xf numFmtId="0" fontId="0" fillId="9" borderId="50" xfId="0" applyFill="1" applyBorder="1" applyAlignment="1">
      <alignment horizontal="left" vertical="top" wrapText="1"/>
    </xf>
    <xf numFmtId="0" fontId="23" fillId="5" borderId="16" xfId="0" applyFont="1" applyFill="1" applyBorder="1" applyAlignment="1">
      <alignment horizontal="right" vertical="center"/>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23" fillId="0" borderId="15" xfId="0" applyFont="1" applyBorder="1" applyAlignment="1">
      <alignment horizontal="left" vertical="top" wrapText="1"/>
    </xf>
    <xf numFmtId="0" fontId="8" fillId="0" borderId="12" xfId="0" applyFont="1" applyBorder="1" applyAlignment="1">
      <alignment horizontal="left" vertical="top" wrapText="1"/>
    </xf>
    <xf numFmtId="0" fontId="23" fillId="0" borderId="15" xfId="0" applyFont="1" applyBorder="1" applyAlignment="1">
      <alignment vertical="top" wrapText="1"/>
    </xf>
    <xf numFmtId="0" fontId="23" fillId="0" borderId="12" xfId="0" applyFont="1" applyBorder="1"/>
    <xf numFmtId="0" fontId="14" fillId="5" borderId="7" xfId="0" applyFont="1" applyFill="1" applyBorder="1" applyAlignment="1">
      <alignment horizontal="left" vertical="top" wrapText="1"/>
    </xf>
    <xf numFmtId="0" fontId="0" fillId="0" borderId="12" xfId="0" quotePrefix="1" applyBorder="1" applyAlignment="1">
      <alignment vertical="top" wrapText="1"/>
    </xf>
    <xf numFmtId="0" fontId="0" fillId="11" borderId="12" xfId="0" applyFill="1" applyBorder="1" applyAlignment="1">
      <alignment vertical="top" wrapText="1"/>
    </xf>
    <xf numFmtId="0" fontId="14" fillId="5" borderId="16" xfId="0" applyFont="1" applyFill="1" applyBorder="1" applyAlignment="1">
      <alignment horizontal="right"/>
    </xf>
    <xf numFmtId="10" fontId="0" fillId="6" borderId="10" xfId="0" applyNumberFormat="1" applyFill="1" applyBorder="1" applyAlignment="1">
      <alignment horizontal="center" wrapText="1"/>
    </xf>
    <xf numFmtId="0" fontId="27" fillId="5" borderId="0" xfId="0" applyFont="1" applyFill="1" applyAlignment="1">
      <alignment horizontal="center" vertical="top"/>
    </xf>
    <xf numFmtId="0" fontId="23" fillId="0" borderId="8" xfId="0" applyFont="1" applyBorder="1" applyAlignment="1">
      <alignment horizontal="left" vertical="top" wrapText="1"/>
    </xf>
    <xf numFmtId="49" fontId="23" fillId="0" borderId="8" xfId="0" applyNumberFormat="1" applyFont="1" applyBorder="1" applyAlignment="1">
      <alignment horizontal="right"/>
    </xf>
    <xf numFmtId="0" fontId="23" fillId="0" borderId="15" xfId="0" quotePrefix="1" applyFont="1" applyBorder="1" applyAlignment="1">
      <alignment horizontal="left" vertical="top" wrapText="1"/>
    </xf>
    <xf numFmtId="0" fontId="8" fillId="0" borderId="11" xfId="0" applyFont="1" applyBorder="1" applyAlignment="1">
      <alignment horizontal="left" vertical="top" wrapText="1"/>
    </xf>
    <xf numFmtId="49" fontId="8" fillId="0" borderId="11" xfId="0" applyNumberFormat="1" applyFont="1" applyBorder="1" applyAlignment="1">
      <alignment horizontal="right"/>
    </xf>
    <xf numFmtId="0" fontId="8" fillId="0" borderId="16" xfId="0" applyFont="1" applyBorder="1" applyAlignment="1">
      <alignment wrapText="1"/>
    </xf>
    <xf numFmtId="0" fontId="23" fillId="0" borderId="15" xfId="0" applyFont="1" applyBorder="1" applyProtection="1">
      <protection locked="0"/>
    </xf>
    <xf numFmtId="0" fontId="8" fillId="0" borderId="16" xfId="0" applyFont="1" applyBorder="1" applyProtection="1">
      <protection locked="0"/>
    </xf>
    <xf numFmtId="0" fontId="8" fillId="0" borderId="16" xfId="0" applyFont="1" applyBorder="1" applyAlignment="1" applyProtection="1">
      <alignment horizontal="left" vertical="top" wrapText="1"/>
      <protection locked="0"/>
    </xf>
    <xf numFmtId="49" fontId="8" fillId="0" borderId="8" xfId="0" applyNumberFormat="1" applyFont="1" applyBorder="1" applyAlignment="1">
      <alignment horizontal="right"/>
    </xf>
    <xf numFmtId="10" fontId="8" fillId="0" borderId="16" xfId="0" applyNumberFormat="1" applyFont="1" applyBorder="1" applyAlignment="1">
      <alignment horizontal="left" vertical="top" wrapText="1"/>
    </xf>
    <xf numFmtId="49" fontId="8" fillId="0" borderId="13" xfId="0" applyNumberFormat="1" applyFont="1" applyBorder="1" applyAlignment="1">
      <alignment horizontal="right"/>
    </xf>
    <xf numFmtId="0" fontId="23" fillId="0" borderId="4" xfId="0" applyFont="1" applyBorder="1" applyAlignment="1">
      <alignment vertical="top" wrapText="1"/>
    </xf>
    <xf numFmtId="0" fontId="23" fillId="0" borderId="5" xfId="0" applyFont="1" applyBorder="1" applyAlignment="1">
      <alignment horizontal="right"/>
    </xf>
    <xf numFmtId="0" fontId="8" fillId="0" borderId="15" xfId="0" applyFont="1" applyBorder="1" applyAlignment="1">
      <alignment horizontal="left" vertical="top" wrapText="1"/>
    </xf>
    <xf numFmtId="49" fontId="23" fillId="0" borderId="8" xfId="0" applyNumberFormat="1" applyFont="1" applyBorder="1" applyAlignment="1">
      <alignment horizontal="right" vertical="center"/>
    </xf>
    <xf numFmtId="49" fontId="23" fillId="0" borderId="11" xfId="0" applyNumberFormat="1" applyFont="1" applyBorder="1" applyAlignment="1">
      <alignment horizontal="right" vertical="center"/>
    </xf>
    <xf numFmtId="49" fontId="23" fillId="0" borderId="13" xfId="0" applyNumberFormat="1" applyFont="1" applyBorder="1" applyAlignment="1">
      <alignment horizontal="right" vertical="center"/>
    </xf>
    <xf numFmtId="0" fontId="8" fillId="0" borderId="17" xfId="0" applyFont="1" applyBorder="1" applyAlignment="1">
      <alignment vertical="top" wrapText="1"/>
    </xf>
    <xf numFmtId="0" fontId="23" fillId="0" borderId="16" xfId="0" applyFont="1" applyBorder="1" applyAlignment="1">
      <alignment horizontal="left" vertical="top" wrapText="1"/>
    </xf>
    <xf numFmtId="49" fontId="23" fillId="0" borderId="11" xfId="0" applyNumberFormat="1" applyFont="1" applyBorder="1" applyAlignment="1">
      <alignment horizontal="right"/>
    </xf>
    <xf numFmtId="0" fontId="8" fillId="0" borderId="13" xfId="0" applyFont="1" applyBorder="1" applyAlignment="1">
      <alignment horizontal="left" vertical="top" wrapText="1"/>
    </xf>
    <xf numFmtId="0" fontId="23" fillId="0" borderId="15" xfId="0" applyFont="1" applyBorder="1" applyAlignment="1" applyProtection="1">
      <alignment vertical="top" wrapText="1"/>
      <protection locked="0"/>
    </xf>
    <xf numFmtId="49" fontId="23" fillId="0" borderId="15" xfId="0" applyNumberFormat="1" applyFont="1" applyBorder="1" applyAlignment="1">
      <alignment horizontal="right"/>
    </xf>
    <xf numFmtId="0" fontId="23" fillId="0" borderId="10" xfId="0" applyFont="1" applyBorder="1" applyAlignment="1">
      <alignment vertical="top" wrapText="1"/>
    </xf>
    <xf numFmtId="0" fontId="8" fillId="0" borderId="12" xfId="0" applyFont="1" applyBorder="1" applyAlignment="1">
      <alignment vertical="top" wrapText="1"/>
    </xf>
    <xf numFmtId="0" fontId="8" fillId="0" borderId="17" xfId="0" quotePrefix="1" applyFont="1" applyBorder="1" applyAlignment="1">
      <alignment vertical="top" wrapText="1"/>
    </xf>
    <xf numFmtId="49" fontId="8" fillId="0" borderId="17" xfId="0" applyNumberFormat="1" applyFont="1" applyBorder="1" applyAlignment="1">
      <alignment horizontal="right"/>
    </xf>
    <xf numFmtId="0" fontId="23" fillId="0" borderId="7" xfId="0" applyFont="1" applyBorder="1" applyAlignment="1">
      <alignment horizontal="left" vertical="top" wrapText="1"/>
    </xf>
    <xf numFmtId="0" fontId="23" fillId="0" borderId="4" xfId="0" applyFont="1" applyBorder="1" applyAlignment="1">
      <alignment horizontal="right" vertical="center"/>
    </xf>
    <xf numFmtId="0" fontId="8" fillId="0" borderId="7" xfId="0" applyFont="1" applyBorder="1" applyAlignment="1">
      <alignment horizontal="left" vertical="top" wrapText="1"/>
    </xf>
    <xf numFmtId="0" fontId="8" fillId="0" borderId="10" xfId="0" applyFont="1" applyBorder="1" applyAlignment="1">
      <alignment horizontal="left" vertical="top" wrapText="1"/>
    </xf>
    <xf numFmtId="0" fontId="23" fillId="0" borderId="15" xfId="0" applyFont="1" applyBorder="1" applyAlignment="1">
      <alignment horizontal="right" vertical="center"/>
    </xf>
    <xf numFmtId="0" fontId="23" fillId="0" borderId="16" xfId="0" applyFont="1" applyBorder="1" applyAlignment="1">
      <alignment horizontal="right" vertical="center"/>
    </xf>
    <xf numFmtId="0" fontId="8" fillId="0" borderId="16" xfId="0" applyFont="1" applyBorder="1" applyAlignment="1">
      <alignment horizontal="right"/>
    </xf>
    <xf numFmtId="0" fontId="8" fillId="0" borderId="12" xfId="0" quotePrefix="1" applyFont="1" applyBorder="1" applyAlignment="1">
      <alignment vertical="top" wrapText="1"/>
    </xf>
    <xf numFmtId="0" fontId="8" fillId="0" borderId="44" xfId="0" applyFont="1" applyBorder="1" applyAlignment="1">
      <alignment horizontal="right"/>
    </xf>
    <xf numFmtId="0" fontId="8" fillId="0" borderId="61" xfId="0" applyFont="1" applyBorder="1" applyAlignment="1">
      <alignment vertical="top" wrapText="1"/>
    </xf>
    <xf numFmtId="0" fontId="8" fillId="0" borderId="74" xfId="0" applyFont="1" applyBorder="1" applyAlignment="1">
      <alignment vertical="top" wrapText="1"/>
    </xf>
    <xf numFmtId="0" fontId="8" fillId="0" borderId="16" xfId="0" applyFont="1" applyBorder="1" applyAlignment="1">
      <alignment horizontal="center" vertical="center"/>
    </xf>
    <xf numFmtId="0" fontId="23" fillId="0" borderId="0" xfId="0" applyFont="1"/>
    <xf numFmtId="0" fontId="23" fillId="0" borderId="15" xfId="0" applyFont="1" applyBorder="1"/>
    <xf numFmtId="0" fontId="3" fillId="5" borderId="0" xfId="0" applyFont="1" applyFill="1" applyAlignment="1">
      <alignment vertical="top"/>
    </xf>
    <xf numFmtId="0" fontId="0" fillId="5" borderId="0" xfId="0" applyFill="1" applyAlignment="1">
      <alignment horizontal="center" wrapText="1"/>
    </xf>
    <xf numFmtId="0" fontId="55" fillId="5" borderId="0" xfId="0" applyFont="1" applyFill="1" applyAlignment="1">
      <alignment horizontal="center" vertical="top"/>
    </xf>
    <xf numFmtId="0" fontId="56" fillId="5" borderId="0" xfId="0" applyFont="1" applyFill="1" applyAlignment="1">
      <alignment horizontal="center" vertical="top"/>
    </xf>
    <xf numFmtId="0" fontId="11" fillId="5" borderId="0" xfId="0" applyFont="1" applyFill="1" applyAlignment="1">
      <alignment horizontal="center"/>
    </xf>
    <xf numFmtId="0" fontId="8" fillId="5" borderId="35" xfId="1" applyFont="1" applyFill="1" applyBorder="1" applyAlignment="1" applyProtection="1">
      <alignment horizontal="center" vertical="center"/>
      <protection locked="0"/>
    </xf>
    <xf numFmtId="0" fontId="8" fillId="10" borderId="69" xfId="1" applyFont="1" applyFill="1" applyBorder="1" applyAlignment="1" applyProtection="1">
      <alignment horizontal="center" vertical="center"/>
      <protection locked="0"/>
    </xf>
    <xf numFmtId="0" fontId="8" fillId="10" borderId="70" xfId="1" applyFont="1" applyFill="1" applyBorder="1" applyAlignment="1" applyProtection="1">
      <alignment horizontal="center" vertical="center"/>
      <protection locked="0"/>
    </xf>
    <xf numFmtId="0" fontId="8" fillId="10" borderId="71" xfId="1" applyFont="1" applyFill="1" applyBorder="1" applyAlignment="1" applyProtection="1">
      <alignment horizontal="center" vertical="center"/>
      <protection locked="0"/>
    </xf>
    <xf numFmtId="0" fontId="0" fillId="10" borderId="69" xfId="0" applyFill="1" applyBorder="1" applyAlignment="1" applyProtection="1">
      <alignment horizontal="center" vertical="center"/>
      <protection locked="0"/>
    </xf>
    <xf numFmtId="0" fontId="0" fillId="10" borderId="70" xfId="0" applyFill="1" applyBorder="1" applyAlignment="1" applyProtection="1">
      <alignment horizontal="center" vertical="center"/>
      <protection locked="0"/>
    </xf>
    <xf numFmtId="0" fontId="0" fillId="10" borderId="71" xfId="0" applyFill="1" applyBorder="1" applyAlignment="1" applyProtection="1">
      <alignment horizontal="center" vertical="center"/>
      <protection locked="0"/>
    </xf>
    <xf numFmtId="0" fontId="12" fillId="5" borderId="168" xfId="0" applyFont="1" applyFill="1" applyBorder="1" applyAlignment="1" applyProtection="1">
      <alignment horizontal="center"/>
      <protection locked="0"/>
    </xf>
    <xf numFmtId="0" fontId="12" fillId="5" borderId="169" xfId="0" applyFont="1" applyFill="1" applyBorder="1" applyAlignment="1" applyProtection="1">
      <alignment horizontal="center"/>
      <protection locked="0"/>
    </xf>
    <xf numFmtId="0" fontId="12" fillId="5" borderId="170" xfId="0" applyFont="1" applyFill="1" applyBorder="1" applyAlignment="1" applyProtection="1">
      <alignment horizontal="center"/>
      <protection locked="0"/>
    </xf>
    <xf numFmtId="0" fontId="54" fillId="5" borderId="0" xfId="0" applyFont="1" applyFill="1" applyAlignment="1">
      <alignment horizontal="center"/>
    </xf>
    <xf numFmtId="0" fontId="8" fillId="5" borderId="0" xfId="1" applyFont="1" applyFill="1" applyBorder="1" applyAlignment="1" applyProtection="1">
      <alignment horizontal="left" vertical="top" wrapText="1"/>
    </xf>
    <xf numFmtId="0" fontId="8" fillId="5" borderId="0" xfId="1" applyFont="1" applyFill="1" applyBorder="1" applyAlignment="1" applyProtection="1">
      <alignment horizontal="left" wrapText="1"/>
    </xf>
    <xf numFmtId="0" fontId="8" fillId="5" borderId="0" xfId="1" applyFont="1" applyFill="1" applyBorder="1" applyAlignment="1" applyProtection="1">
      <alignment horizontal="left"/>
    </xf>
    <xf numFmtId="0" fontId="3" fillId="27" borderId="2" xfId="0" applyFont="1" applyFill="1" applyBorder="1" applyAlignment="1">
      <alignment horizontal="center" vertical="center"/>
    </xf>
    <xf numFmtId="0" fontId="96" fillId="15" borderId="2" xfId="0" applyFont="1" applyFill="1" applyBorder="1" applyAlignment="1">
      <alignment horizontal="center" vertical="center"/>
    </xf>
    <xf numFmtId="0" fontId="3" fillId="27" borderId="21" xfId="0" applyFont="1" applyFill="1" applyBorder="1" applyAlignment="1">
      <alignment horizontal="center" vertical="center"/>
    </xf>
    <xf numFmtId="0" fontId="3" fillId="27" borderId="57" xfId="0" applyFont="1" applyFill="1" applyBorder="1" applyAlignment="1">
      <alignment horizontal="center" vertical="center"/>
    </xf>
    <xf numFmtId="0" fontId="96" fillId="15" borderId="21" xfId="0" applyFont="1" applyFill="1" applyBorder="1" applyAlignment="1">
      <alignment horizontal="center" vertical="center"/>
    </xf>
    <xf numFmtId="0" fontId="96" fillId="15" borderId="57" xfId="0" applyFont="1" applyFill="1" applyBorder="1" applyAlignment="1">
      <alignment horizontal="center" vertical="center"/>
    </xf>
    <xf numFmtId="0" fontId="123" fillId="0" borderId="0" xfId="0" applyFont="1" applyAlignment="1">
      <alignment horizontal="left" vertical="center"/>
    </xf>
    <xf numFmtId="0" fontId="3" fillId="0" borderId="0" xfId="0" applyFont="1" applyAlignment="1">
      <alignment horizontal="center" vertical="center"/>
    </xf>
    <xf numFmtId="0" fontId="117" fillId="0" borderId="0" xfId="0" applyFont="1" applyAlignment="1">
      <alignment horizontal="center" vertical="center"/>
    </xf>
    <xf numFmtId="0" fontId="19" fillId="0" borderId="0" xfId="0" applyFont="1" applyAlignment="1">
      <alignment horizontal="left" vertical="center"/>
    </xf>
    <xf numFmtId="0" fontId="3" fillId="0" borderId="0" xfId="0" applyFont="1" applyAlignment="1">
      <alignment horizontal="left" vertical="center"/>
    </xf>
    <xf numFmtId="44" fontId="3" fillId="0" borderId="0" xfId="3" applyFont="1" applyFill="1" applyBorder="1" applyAlignment="1">
      <alignment horizontal="left" vertical="center"/>
    </xf>
    <xf numFmtId="0" fontId="96" fillId="16" borderId="85" xfId="0" applyFont="1" applyFill="1" applyBorder="1" applyAlignment="1">
      <alignment horizontal="center" vertical="center" textRotation="90"/>
    </xf>
    <xf numFmtId="0" fontId="3" fillId="29" borderId="85" xfId="0" applyFont="1" applyFill="1" applyBorder="1" applyAlignment="1">
      <alignment horizontal="center" vertical="center"/>
    </xf>
    <xf numFmtId="0" fontId="96" fillId="16" borderId="85" xfId="0" applyFont="1" applyFill="1" applyBorder="1" applyAlignment="1">
      <alignment horizontal="center" vertical="center"/>
    </xf>
    <xf numFmtId="0" fontId="8" fillId="5" borderId="0" xfId="0" applyFont="1" applyFill="1" applyAlignment="1">
      <alignment horizontal="right" vertical="top"/>
    </xf>
    <xf numFmtId="0" fontId="9" fillId="5" borderId="0" xfId="1" applyFill="1" applyBorder="1" applyAlignment="1" applyProtection="1">
      <alignment horizontal="left" vertical="top"/>
      <protection locked="0"/>
    </xf>
    <xf numFmtId="0" fontId="43" fillId="5" borderId="0" xfId="1" applyFont="1" applyFill="1" applyBorder="1" applyAlignment="1" applyProtection="1">
      <alignment horizontal="left" vertical="top" wrapText="1"/>
      <protection locked="0"/>
    </xf>
    <xf numFmtId="0" fontId="41" fillId="10" borderId="8" xfId="0" applyFont="1" applyFill="1" applyBorder="1" applyAlignment="1" applyProtection="1">
      <alignment horizontal="center" vertical="center"/>
      <protection locked="0"/>
    </xf>
    <xf numFmtId="0" fontId="41" fillId="10" borderId="9" xfId="0" applyFont="1" applyFill="1" applyBorder="1" applyAlignment="1" applyProtection="1">
      <alignment horizontal="center" vertical="center"/>
      <protection locked="0"/>
    </xf>
    <xf numFmtId="0" fontId="41" fillId="10" borderId="43" xfId="0" applyFont="1" applyFill="1" applyBorder="1" applyAlignment="1" applyProtection="1">
      <alignment horizontal="center" vertical="center"/>
      <protection locked="0"/>
    </xf>
    <xf numFmtId="0" fontId="41" fillId="10" borderId="42" xfId="0" applyFont="1" applyFill="1" applyBorder="1" applyAlignment="1" applyProtection="1">
      <alignment horizontal="center" vertical="center"/>
      <protection locked="0"/>
    </xf>
    <xf numFmtId="0" fontId="41" fillId="10" borderId="40" xfId="0" applyFont="1" applyFill="1" applyBorder="1" applyAlignment="1" applyProtection="1">
      <alignment horizontal="center" vertical="center"/>
      <protection locked="0"/>
    </xf>
    <xf numFmtId="0" fontId="41" fillId="10" borderId="41" xfId="0" applyFont="1" applyFill="1" applyBorder="1" applyAlignment="1" applyProtection="1">
      <alignment horizontal="center" vertical="center"/>
      <protection locked="0"/>
    </xf>
    <xf numFmtId="0" fontId="3" fillId="19" borderId="159" xfId="0" applyFont="1" applyFill="1" applyBorder="1" applyAlignment="1">
      <alignment horizontal="center" vertical="center"/>
    </xf>
    <xf numFmtId="0" fontId="3" fillId="19" borderId="160" xfId="0" applyFont="1" applyFill="1" applyBorder="1" applyAlignment="1">
      <alignment horizontal="center" vertical="center"/>
    </xf>
    <xf numFmtId="0" fontId="3" fillId="19" borderId="161" xfId="0" applyFont="1" applyFill="1" applyBorder="1" applyAlignment="1">
      <alignment horizontal="center" vertical="center"/>
    </xf>
    <xf numFmtId="0" fontId="117" fillId="31" borderId="156" xfId="0" applyFont="1" applyFill="1" applyBorder="1" applyAlignment="1">
      <alignment horizontal="center" vertical="center"/>
    </xf>
    <xf numFmtId="0" fontId="117" fillId="31" borderId="157" xfId="0" applyFont="1" applyFill="1" applyBorder="1" applyAlignment="1">
      <alignment horizontal="center" vertical="center"/>
    </xf>
    <xf numFmtId="0" fontId="117" fillId="31" borderId="158" xfId="0" applyFont="1" applyFill="1" applyBorder="1" applyAlignment="1">
      <alignment horizontal="center" vertical="center"/>
    </xf>
    <xf numFmtId="0" fontId="3" fillId="19" borderId="162" xfId="0" applyFont="1" applyFill="1" applyBorder="1" applyAlignment="1">
      <alignment horizontal="center" vertical="center"/>
    </xf>
    <xf numFmtId="0" fontId="3" fillId="19" borderId="163" xfId="0" applyFont="1" applyFill="1" applyBorder="1" applyAlignment="1">
      <alignment horizontal="center" vertical="center"/>
    </xf>
    <xf numFmtId="0" fontId="3" fillId="19" borderId="164" xfId="0" applyFont="1" applyFill="1" applyBorder="1" applyAlignment="1">
      <alignment horizontal="center" vertical="center"/>
    </xf>
    <xf numFmtId="0" fontId="0" fillId="27" borderId="0" xfId="0" applyFill="1" applyAlignment="1">
      <alignment horizontal="left" vertical="top" wrapText="1"/>
    </xf>
    <xf numFmtId="0" fontId="0" fillId="5" borderId="37" xfId="0" applyFill="1" applyBorder="1" applyAlignment="1" applyProtection="1">
      <alignment horizontal="center" vertical="top" wrapText="1"/>
      <protection locked="0"/>
    </xf>
    <xf numFmtId="0" fontId="0" fillId="5" borderId="38" xfId="0" applyFill="1" applyBorder="1" applyAlignment="1" applyProtection="1">
      <alignment horizontal="center" vertical="top" wrapText="1"/>
      <protection locked="0"/>
    </xf>
    <xf numFmtId="0" fontId="0" fillId="5" borderId="39" xfId="0" applyFill="1" applyBorder="1" applyAlignment="1" applyProtection="1">
      <alignment horizontal="center" vertical="top" wrapText="1"/>
      <protection locked="0"/>
    </xf>
    <xf numFmtId="0" fontId="0" fillId="5" borderId="0" xfId="0" applyFill="1" applyAlignment="1">
      <alignment horizontal="left" vertical="top" wrapText="1"/>
    </xf>
    <xf numFmtId="0" fontId="50" fillId="5" borderId="0" xfId="0" applyFont="1" applyFill="1" applyAlignment="1">
      <alignment horizontal="center"/>
    </xf>
    <xf numFmtId="0" fontId="14" fillId="5" borderId="0" xfId="0" applyFont="1" applyFill="1" applyAlignment="1">
      <alignment horizontal="center" wrapText="1"/>
    </xf>
    <xf numFmtId="0" fontId="27" fillId="5" borderId="0" xfId="0" applyFont="1" applyFill="1" applyAlignment="1">
      <alignment horizontal="center" vertical="top"/>
    </xf>
    <xf numFmtId="0" fontId="96" fillId="24" borderId="85" xfId="0" applyFont="1" applyFill="1" applyBorder="1" applyAlignment="1">
      <alignment horizontal="center" vertical="center" textRotation="90"/>
    </xf>
    <xf numFmtId="0" fontId="59" fillId="5" borderId="0" xfId="0" applyFont="1" applyFill="1" applyAlignment="1">
      <alignment horizontal="left"/>
    </xf>
    <xf numFmtId="0" fontId="0" fillId="5" borderId="0" xfId="0" applyFill="1" applyAlignment="1">
      <alignment vertical="top" wrapText="1"/>
    </xf>
    <xf numFmtId="0" fontId="3" fillId="0" borderId="0" xfId="0" applyFont="1" applyAlignment="1">
      <alignment horizontal="left" vertical="top"/>
    </xf>
    <xf numFmtId="0" fontId="118" fillId="0" borderId="0" xfId="0" applyFont="1" applyAlignment="1">
      <alignment horizontal="center" vertical="center"/>
    </xf>
    <xf numFmtId="0" fontId="93" fillId="0" borderId="0" xfId="0" applyFont="1" applyAlignment="1">
      <alignment horizontal="center" vertical="center"/>
    </xf>
    <xf numFmtId="0" fontId="0" fillId="0" borderId="0" xfId="0" applyAlignment="1">
      <alignment horizontal="center" vertical="center"/>
    </xf>
    <xf numFmtId="0" fontId="3" fillId="0" borderId="0" xfId="0" applyFont="1"/>
    <xf numFmtId="0" fontId="79" fillId="0" borderId="0" xfId="0" applyFont="1" applyAlignment="1">
      <alignment horizontal="left" vertical="center"/>
    </xf>
    <xf numFmtId="0" fontId="80" fillId="0" borderId="0" xfId="0" applyFont="1" applyAlignment="1">
      <alignment horizontal="left" vertical="center"/>
    </xf>
    <xf numFmtId="0" fontId="84" fillId="0" borderId="0" xfId="0" applyFont="1" applyAlignment="1">
      <alignment horizontal="left" vertical="center"/>
    </xf>
    <xf numFmtId="0" fontId="81" fillId="0" borderId="0" xfId="0" applyFont="1" applyAlignment="1">
      <alignment horizontal="left" vertical="center"/>
    </xf>
    <xf numFmtId="0" fontId="116" fillId="0" borderId="0" xfId="0" applyFont="1" applyAlignment="1">
      <alignment horizontal="center" vertical="center"/>
    </xf>
    <xf numFmtId="0" fontId="0" fillId="0" borderId="0" xfId="0" applyAlignment="1">
      <alignment horizontal="center"/>
    </xf>
    <xf numFmtId="0" fontId="130" fillId="25" borderId="88" xfId="0" applyFont="1" applyFill="1" applyBorder="1" applyAlignment="1">
      <alignment horizontal="left" vertical="center"/>
    </xf>
    <xf numFmtId="0" fontId="130" fillId="25" borderId="93" xfId="0" applyFont="1" applyFill="1" applyBorder="1" applyAlignment="1">
      <alignment horizontal="left" vertical="center"/>
    </xf>
    <xf numFmtId="0" fontId="130" fillId="25" borderId="89" xfId="0" applyFont="1" applyFill="1" applyBorder="1" applyAlignment="1">
      <alignment horizontal="left" vertical="center"/>
    </xf>
    <xf numFmtId="0" fontId="118" fillId="24" borderId="0" xfId="0" applyFont="1" applyFill="1" applyAlignment="1">
      <alignment horizontal="center" vertical="center"/>
    </xf>
    <xf numFmtId="0" fontId="0" fillId="5" borderId="0" xfId="0" applyFill="1" applyAlignment="1">
      <alignment horizontal="left"/>
    </xf>
    <xf numFmtId="0" fontId="32" fillId="5" borderId="0" xfId="0" applyFont="1" applyFill="1" applyAlignment="1">
      <alignment horizontal="center" wrapText="1"/>
    </xf>
    <xf numFmtId="0" fontId="3" fillId="20" borderId="85" xfId="0" applyFont="1" applyFill="1" applyBorder="1" applyAlignment="1">
      <alignment horizontal="center" vertical="center"/>
    </xf>
    <xf numFmtId="0" fontId="96" fillId="24" borderId="85" xfId="0" applyFont="1" applyFill="1" applyBorder="1" applyAlignment="1">
      <alignment horizontal="center" vertical="center"/>
    </xf>
    <xf numFmtId="0" fontId="96" fillId="15" borderId="21" xfId="0" applyFont="1" applyFill="1" applyBorder="1" applyAlignment="1">
      <alignment horizontal="center" vertical="center" textRotation="90" wrapText="1"/>
    </xf>
    <xf numFmtId="0" fontId="96" fillId="15" borderId="62" xfId="0" applyFont="1" applyFill="1" applyBorder="1" applyAlignment="1">
      <alignment horizontal="center" vertical="center" textRotation="90" wrapText="1"/>
    </xf>
    <xf numFmtId="0" fontId="96" fillId="15" borderId="57" xfId="0" applyFont="1" applyFill="1" applyBorder="1" applyAlignment="1">
      <alignment horizontal="center" vertical="center" textRotation="90" wrapText="1"/>
    </xf>
    <xf numFmtId="0" fontId="4" fillId="2" borderId="0" xfId="0" applyFont="1" applyFill="1" applyAlignment="1">
      <alignment horizontal="left" vertical="center"/>
    </xf>
    <xf numFmtId="0" fontId="123" fillId="25" borderId="88" xfId="0" applyFont="1" applyFill="1" applyBorder="1" applyAlignment="1">
      <alignment horizontal="left" vertical="center"/>
    </xf>
    <xf numFmtId="0" fontId="123" fillId="25" borderId="93" xfId="0" applyFont="1" applyFill="1" applyBorder="1" applyAlignment="1">
      <alignment horizontal="left" vertical="center"/>
    </xf>
    <xf numFmtId="0" fontId="123" fillId="25" borderId="89" xfId="0" applyFont="1" applyFill="1" applyBorder="1" applyAlignment="1">
      <alignment horizontal="left" vertical="center"/>
    </xf>
    <xf numFmtId="0" fontId="0" fillId="20" borderId="0" xfId="0" applyFill="1" applyAlignment="1">
      <alignment horizontal="left" vertical="top" wrapText="1"/>
    </xf>
    <xf numFmtId="0" fontId="44" fillId="0" borderId="0" xfId="0" applyFont="1" applyAlignment="1">
      <alignment horizontal="left" vertical="center"/>
    </xf>
    <xf numFmtId="0" fontId="4" fillId="0" borderId="0" xfId="0" applyFont="1" applyAlignment="1">
      <alignment horizontal="left" vertical="center"/>
    </xf>
    <xf numFmtId="0" fontId="50" fillId="5" borderId="0" xfId="0" applyFont="1" applyFill="1" applyAlignment="1">
      <alignment horizontal="center" vertical="top"/>
    </xf>
    <xf numFmtId="0" fontId="47" fillId="0" borderId="20" xfId="0" applyFont="1" applyBorder="1" applyAlignment="1">
      <alignment vertical="center"/>
    </xf>
    <xf numFmtId="0" fontId="47" fillId="0" borderId="19" xfId="0" applyFont="1" applyBorder="1" applyAlignment="1">
      <alignment vertical="center"/>
    </xf>
    <xf numFmtId="0" fontId="0" fillId="5" borderId="0" xfId="0" applyFill="1" applyAlignment="1">
      <alignment horizontal="left" wrapText="1"/>
    </xf>
    <xf numFmtId="0" fontId="131" fillId="25" borderId="165" xfId="0" applyFont="1" applyFill="1" applyBorder="1" applyAlignment="1">
      <alignment horizontal="left" vertical="center"/>
    </xf>
    <xf numFmtId="0" fontId="131" fillId="25" borderId="166" xfId="0" applyFont="1" applyFill="1" applyBorder="1" applyAlignment="1">
      <alignment horizontal="left" vertical="center"/>
    </xf>
    <xf numFmtId="0" fontId="131" fillId="25" borderId="167" xfId="0" applyFont="1" applyFill="1" applyBorder="1" applyAlignment="1">
      <alignment horizontal="left" vertical="center"/>
    </xf>
    <xf numFmtId="0" fontId="0" fillId="5" borderId="0" xfId="0" applyFill="1" applyAlignment="1">
      <alignment wrapText="1"/>
    </xf>
    <xf numFmtId="0" fontId="8" fillId="5" borderId="0" xfId="0" applyFont="1" applyFill="1" applyAlignment="1">
      <alignment horizontal="left" vertical="top"/>
    </xf>
    <xf numFmtId="0" fontId="51" fillId="5" borderId="0" xfId="0" applyFont="1" applyFill="1" applyAlignment="1" applyProtection="1">
      <alignment horizontal="left" vertical="top" wrapText="1"/>
      <protection locked="0"/>
    </xf>
    <xf numFmtId="0" fontId="63" fillId="0" borderId="0" xfId="1" applyFont="1" applyAlignment="1" applyProtection="1">
      <alignment horizontal="left"/>
      <protection locked="0"/>
    </xf>
    <xf numFmtId="0" fontId="10" fillId="5" borderId="0" xfId="0" applyFont="1" applyFill="1" applyAlignment="1">
      <alignment horizontal="center" wrapText="1"/>
    </xf>
    <xf numFmtId="0" fontId="0" fillId="25" borderId="90" xfId="0" applyFill="1" applyBorder="1" applyAlignment="1">
      <alignment horizontal="left"/>
    </xf>
    <xf numFmtId="0" fontId="0" fillId="25" borderId="0" xfId="0" applyFill="1" applyAlignment="1">
      <alignment horizontal="left"/>
    </xf>
    <xf numFmtId="0" fontId="0" fillId="26" borderId="90" xfId="0" applyFill="1" applyBorder="1" applyAlignment="1">
      <alignment horizontal="left"/>
    </xf>
    <xf numFmtId="0" fontId="0" fillId="26" borderId="0" xfId="0" applyFill="1" applyAlignment="1">
      <alignment horizontal="left"/>
    </xf>
    <xf numFmtId="10" fontId="72" fillId="20" borderId="0" xfId="0" applyNumberFormat="1" applyFont="1" applyFill="1" applyAlignment="1">
      <alignment horizontal="center" vertical="center"/>
    </xf>
    <xf numFmtId="0" fontId="132" fillId="25" borderId="58" xfId="0" applyFont="1" applyFill="1" applyBorder="1" applyAlignment="1">
      <alignment horizontal="left" vertical="center"/>
    </xf>
    <xf numFmtId="0" fontId="132" fillId="25" borderId="142" xfId="0" applyFont="1" applyFill="1" applyBorder="1" applyAlignment="1">
      <alignment horizontal="left" vertical="center"/>
    </xf>
    <xf numFmtId="0" fontId="132" fillId="25" borderId="59" xfId="0" applyFont="1" applyFill="1" applyBorder="1" applyAlignment="1">
      <alignment horizontal="left" vertical="center"/>
    </xf>
    <xf numFmtId="0" fontId="8" fillId="5" borderId="0" xfId="0" applyFont="1" applyFill="1" applyAlignment="1">
      <alignment horizontal="left" wrapText="1"/>
    </xf>
    <xf numFmtId="0" fontId="30" fillId="5" borderId="0" xfId="0" applyFont="1" applyFill="1" applyAlignment="1">
      <alignment horizontal="center"/>
    </xf>
    <xf numFmtId="0" fontId="24" fillId="5" borderId="0" xfId="0" applyFont="1" applyFill="1" applyAlignment="1">
      <alignment horizontal="center"/>
    </xf>
    <xf numFmtId="0" fontId="69" fillId="5" borderId="0" xfId="0" applyFont="1" applyFill="1" applyAlignment="1">
      <alignment horizontal="center" vertical="top"/>
    </xf>
    <xf numFmtId="0" fontId="8" fillId="5" borderId="0" xfId="0" applyFont="1" applyFill="1" applyAlignment="1">
      <alignment horizontal="left" vertical="top" wrapText="1"/>
    </xf>
    <xf numFmtId="0" fontId="25" fillId="5" borderId="0" xfId="0" applyFont="1" applyFill="1" applyAlignment="1">
      <alignment horizontal="center" vertical="top"/>
    </xf>
    <xf numFmtId="0" fontId="15" fillId="20" borderId="0" xfId="0" applyFont="1" applyFill="1" applyAlignment="1">
      <alignment horizontal="left" wrapText="1"/>
    </xf>
    <xf numFmtId="0" fontId="15" fillId="20" borderId="0" xfId="0" applyFont="1" applyFill="1" applyAlignment="1">
      <alignment horizontal="left" vertical="top" wrapText="1"/>
    </xf>
    <xf numFmtId="0" fontId="0" fillId="0" borderId="0" xfId="0" applyAlignment="1">
      <alignment horizontal="left" vertical="center" wrapText="1"/>
    </xf>
    <xf numFmtId="0" fontId="8" fillId="20" borderId="0" xfId="0" applyFont="1" applyFill="1" applyAlignment="1">
      <alignment horizontal="left" vertical="top" wrapText="1"/>
    </xf>
    <xf numFmtId="0" fontId="106" fillId="20" borderId="0" xfId="0" applyFont="1" applyFill="1" applyAlignment="1">
      <alignment horizontal="left" vertical="top" wrapText="1"/>
    </xf>
    <xf numFmtId="0" fontId="0" fillId="0" borderId="0" xfId="0" applyAlignment="1">
      <alignment horizontal="left" vertical="top" wrapText="1"/>
    </xf>
    <xf numFmtId="10" fontId="77" fillId="20" borderId="0" xfId="0" applyNumberFormat="1" applyFont="1" applyFill="1" applyAlignment="1">
      <alignment horizontal="center" vertical="center"/>
    </xf>
    <xf numFmtId="10" fontId="133" fillId="25" borderId="58" xfId="0" applyNumberFormat="1" applyFont="1" applyFill="1" applyBorder="1" applyAlignment="1">
      <alignment horizontal="center" vertical="center"/>
    </xf>
    <xf numFmtId="10" fontId="133" fillId="25" borderId="59" xfId="0" applyNumberFormat="1" applyFont="1" applyFill="1" applyBorder="1" applyAlignment="1">
      <alignment horizontal="center" vertical="center"/>
    </xf>
    <xf numFmtId="10" fontId="78" fillId="20" borderId="0" xfId="0" applyNumberFormat="1" applyFont="1" applyFill="1" applyAlignment="1">
      <alignment horizontal="center" vertical="center"/>
    </xf>
    <xf numFmtId="0" fontId="27" fillId="5" borderId="0" xfId="0" applyFont="1" applyFill="1" applyAlignment="1">
      <alignment horizontal="center" vertical="top" wrapText="1"/>
    </xf>
    <xf numFmtId="0" fontId="138" fillId="10" borderId="37" xfId="0" applyFont="1" applyFill="1" applyBorder="1" applyAlignment="1" applyProtection="1">
      <alignment horizontal="center" vertical="center" wrapText="1"/>
      <protection locked="0"/>
    </xf>
    <xf numFmtId="0" fontId="138" fillId="10" borderId="39" xfId="0" applyFont="1" applyFill="1" applyBorder="1" applyAlignment="1" applyProtection="1">
      <alignment horizontal="center" vertical="center" wrapText="1"/>
      <protection locked="0"/>
    </xf>
    <xf numFmtId="0" fontId="96" fillId="24" borderId="0" xfId="0" applyFont="1" applyFill="1" applyAlignment="1">
      <alignment horizontal="center" vertical="center"/>
    </xf>
    <xf numFmtId="0" fontId="0" fillId="29" borderId="0" xfId="0" applyFill="1" applyAlignment="1">
      <alignment horizontal="left" vertical="top" wrapText="1"/>
    </xf>
    <xf numFmtId="0" fontId="64" fillId="5" borderId="0" xfId="0" applyFont="1" applyFill="1" applyAlignment="1" applyProtection="1">
      <alignment horizontal="left"/>
      <protection locked="0"/>
    </xf>
    <xf numFmtId="0" fontId="111" fillId="5" borderId="0" xfId="0" applyFont="1" applyFill="1" applyAlignment="1">
      <alignment horizontal="center"/>
    </xf>
    <xf numFmtId="0" fontId="6" fillId="27" borderId="0" xfId="0" applyFont="1" applyFill="1" applyAlignment="1">
      <alignment horizontal="center"/>
    </xf>
    <xf numFmtId="0" fontId="106" fillId="27" borderId="0" xfId="0" applyFont="1" applyFill="1" applyAlignment="1">
      <alignment horizontal="left" vertical="top" wrapText="1"/>
    </xf>
    <xf numFmtId="0" fontId="6" fillId="29" borderId="0" xfId="0" applyFont="1" applyFill="1" applyAlignment="1">
      <alignment horizontal="center"/>
    </xf>
    <xf numFmtId="0" fontId="106" fillId="29" borderId="0" xfId="0" applyFont="1" applyFill="1" applyAlignment="1">
      <alignment horizontal="left" vertical="top" wrapText="1"/>
    </xf>
    <xf numFmtId="0" fontId="110" fillId="5" borderId="0" xfId="0" applyFont="1" applyFill="1" applyAlignment="1">
      <alignment horizontal="center"/>
    </xf>
    <xf numFmtId="0" fontId="6" fillId="20" borderId="0" xfId="0" applyFont="1" applyFill="1" applyAlignment="1">
      <alignment horizontal="center"/>
    </xf>
    <xf numFmtId="0" fontId="0" fillId="7" borderId="0" xfId="0" applyFill="1" applyAlignment="1">
      <alignment horizontal="left" vertical="top" wrapText="1"/>
    </xf>
    <xf numFmtId="0" fontId="107" fillId="20" borderId="0" xfId="0" applyFont="1" applyFill="1" applyAlignment="1">
      <alignment horizontal="left" vertical="center" wrapText="1"/>
    </xf>
    <xf numFmtId="0" fontId="51" fillId="5" borderId="0" xfId="0" applyFont="1" applyFill="1" applyAlignment="1">
      <alignment horizontal="center"/>
    </xf>
    <xf numFmtId="0" fontId="0" fillId="5" borderId="0" xfId="0" applyFill="1" applyAlignment="1">
      <alignment horizontal="right" vertical="top" wrapText="1"/>
    </xf>
    <xf numFmtId="0" fontId="139" fillId="5" borderId="0" xfId="0" applyFont="1" applyFill="1" applyAlignment="1">
      <alignment horizontal="center" vertical="center" wrapText="1"/>
    </xf>
    <xf numFmtId="0" fontId="32" fillId="5" borderId="0" xfId="0" applyFont="1" applyFill="1" applyAlignment="1">
      <alignment horizontal="center"/>
    </xf>
    <xf numFmtId="0" fontId="8" fillId="7" borderId="0" xfId="0" applyFont="1" applyFill="1" applyAlignment="1">
      <alignment horizontal="left" vertical="top" wrapText="1"/>
    </xf>
    <xf numFmtId="0" fontId="0" fillId="11" borderId="0" xfId="0" applyFill="1" applyAlignment="1">
      <alignment horizontal="left" vertical="top" wrapText="1"/>
    </xf>
    <xf numFmtId="0" fontId="6" fillId="7" borderId="0" xfId="0" applyFont="1" applyFill="1" applyAlignment="1">
      <alignment horizontal="center"/>
    </xf>
    <xf numFmtId="0" fontId="51" fillId="7" borderId="0" xfId="0" applyFont="1" applyFill="1" applyAlignment="1">
      <alignment horizontal="center" wrapText="1"/>
    </xf>
    <xf numFmtId="0" fontId="50" fillId="7" borderId="0" xfId="0" applyFont="1" applyFill="1" applyAlignment="1">
      <alignment horizontal="center"/>
    </xf>
    <xf numFmtId="0" fontId="51" fillId="7" borderId="0" xfId="0" applyFont="1" applyFill="1" applyAlignment="1">
      <alignment horizontal="center" vertical="top" wrapText="1"/>
    </xf>
    <xf numFmtId="0" fontId="108" fillId="7" borderId="0" xfId="0" applyFont="1" applyFill="1" applyAlignment="1">
      <alignment horizontal="left" vertical="center" wrapText="1"/>
    </xf>
    <xf numFmtId="0" fontId="0" fillId="3" borderId="0" xfId="0" applyFill="1" applyAlignment="1">
      <alignment horizontal="left" vertical="top" wrapText="1"/>
    </xf>
    <xf numFmtId="0" fontId="51" fillId="7" borderId="0" xfId="0" applyFont="1" applyFill="1" applyAlignment="1" applyProtection="1">
      <alignment horizontal="left" vertical="top" wrapText="1"/>
      <protection locked="0"/>
    </xf>
    <xf numFmtId="0" fontId="51" fillId="7" borderId="0" xfId="0" applyFont="1" applyFill="1" applyAlignment="1">
      <alignment horizontal="center"/>
    </xf>
    <xf numFmtId="0" fontId="112" fillId="5" borderId="0" xfId="0" applyFont="1" applyFill="1" applyAlignment="1">
      <alignment horizontal="center"/>
    </xf>
    <xf numFmtId="0" fontId="8" fillId="5" borderId="52" xfId="0" applyFont="1" applyFill="1" applyBorder="1" applyAlignment="1" applyProtection="1">
      <alignment horizontal="left"/>
      <protection locked="0"/>
    </xf>
    <xf numFmtId="0" fontId="0" fillId="5" borderId="55" xfId="0" applyFill="1" applyBorder="1" applyAlignment="1" applyProtection="1">
      <alignment horizontal="left"/>
      <protection locked="0"/>
    </xf>
    <xf numFmtId="14" fontId="18" fillId="5" borderId="0" xfId="0" applyNumberFormat="1" applyFont="1" applyFill="1" applyAlignment="1">
      <alignment horizontal="center" vertical="top"/>
    </xf>
    <xf numFmtId="0" fontId="3" fillId="19" borderId="119" xfId="0" applyFont="1" applyFill="1" applyBorder="1" applyAlignment="1">
      <alignment horizontal="center" vertical="center"/>
    </xf>
    <xf numFmtId="0" fontId="3" fillId="19" borderId="120" xfId="0" applyFont="1" applyFill="1" applyBorder="1" applyAlignment="1">
      <alignment horizontal="center" vertical="center"/>
    </xf>
    <xf numFmtId="0" fontId="120" fillId="32" borderId="129" xfId="0" applyFont="1" applyFill="1" applyBorder="1" applyAlignment="1">
      <alignment horizontal="center" vertical="center" wrapText="1"/>
    </xf>
    <xf numFmtId="0" fontId="120" fillId="32" borderId="130" xfId="0" applyFont="1" applyFill="1" applyBorder="1" applyAlignment="1">
      <alignment horizontal="center" vertical="center" wrapText="1"/>
    </xf>
    <xf numFmtId="0" fontId="120" fillId="32" borderId="131" xfId="0" applyFont="1" applyFill="1" applyBorder="1" applyAlignment="1">
      <alignment horizontal="center" vertical="center" wrapText="1"/>
    </xf>
    <xf numFmtId="0" fontId="120" fillId="32" borderId="132" xfId="0" applyFont="1" applyFill="1" applyBorder="1" applyAlignment="1">
      <alignment horizontal="center" vertical="center" wrapText="1"/>
    </xf>
    <xf numFmtId="0" fontId="120" fillId="32" borderId="0" xfId="0" applyFont="1" applyFill="1" applyAlignment="1">
      <alignment horizontal="center" vertical="center" wrapText="1"/>
    </xf>
    <xf numFmtId="0" fontId="120" fillId="32" borderId="133" xfId="0" applyFont="1" applyFill="1" applyBorder="1" applyAlignment="1">
      <alignment horizontal="center" vertical="center" wrapText="1"/>
    </xf>
    <xf numFmtId="0" fontId="120" fillId="32" borderId="134" xfId="0" applyFont="1" applyFill="1" applyBorder="1" applyAlignment="1">
      <alignment horizontal="center" vertical="center" wrapText="1"/>
    </xf>
    <xf numFmtId="0" fontId="120" fillId="32" borderId="135" xfId="0" applyFont="1" applyFill="1" applyBorder="1" applyAlignment="1">
      <alignment horizontal="center" vertical="center" wrapText="1"/>
    </xf>
    <xf numFmtId="0" fontId="120" fillId="32" borderId="136" xfId="0" applyFont="1" applyFill="1" applyBorder="1" applyAlignment="1">
      <alignment horizontal="center" vertical="center" wrapText="1"/>
    </xf>
    <xf numFmtId="0" fontId="120" fillId="32" borderId="123" xfId="0" applyFont="1" applyFill="1" applyBorder="1" applyAlignment="1">
      <alignment horizontal="center" vertical="center" wrapText="1"/>
    </xf>
    <xf numFmtId="0" fontId="120" fillId="32" borderId="122" xfId="0" applyFont="1" applyFill="1" applyBorder="1" applyAlignment="1">
      <alignment horizontal="center" vertical="center" wrapText="1"/>
    </xf>
    <xf numFmtId="0" fontId="120" fillId="32" borderId="121" xfId="0" applyFont="1" applyFill="1" applyBorder="1" applyAlignment="1">
      <alignment horizontal="center" vertical="center" wrapText="1"/>
    </xf>
    <xf numFmtId="0" fontId="3" fillId="19" borderId="116" xfId="0" applyFont="1" applyFill="1" applyBorder="1" applyAlignment="1">
      <alignment horizontal="center" vertical="center"/>
    </xf>
    <xf numFmtId="0" fontId="3" fillId="19" borderId="117" xfId="0" applyFont="1" applyFill="1" applyBorder="1" applyAlignment="1">
      <alignment horizontal="center" vertical="center"/>
    </xf>
    <xf numFmtId="2" fontId="119" fillId="30" borderId="113" xfId="0" applyNumberFormat="1" applyFont="1" applyFill="1" applyBorder="1" applyAlignment="1">
      <alignment horizontal="center" vertical="center"/>
    </xf>
    <xf numFmtId="2" fontId="119" fillId="30" borderId="112" xfId="0" applyNumberFormat="1" applyFont="1" applyFill="1" applyBorder="1" applyAlignment="1">
      <alignment horizontal="center" vertical="center"/>
    </xf>
    <xf numFmtId="2" fontId="119" fillId="30" borderId="114" xfId="0" applyNumberFormat="1" applyFont="1" applyFill="1" applyBorder="1" applyAlignment="1">
      <alignment horizontal="center" vertical="center"/>
    </xf>
    <xf numFmtId="0" fontId="119" fillId="0" borderId="0" xfId="0" applyFont="1" applyAlignment="1">
      <alignment horizontal="center" vertical="center"/>
    </xf>
    <xf numFmtId="0" fontId="118" fillId="15" borderId="0" xfId="0" applyFont="1" applyFill="1" applyAlignment="1">
      <alignment horizontal="center" vertical="center"/>
    </xf>
    <xf numFmtId="0" fontId="0" fillId="5" borderId="0" xfId="0" applyFill="1" applyAlignment="1">
      <alignment horizontal="center" vertical="center"/>
    </xf>
    <xf numFmtId="0" fontId="3" fillId="19" borderId="115" xfId="0" applyFont="1" applyFill="1" applyBorder="1" applyAlignment="1">
      <alignment horizontal="center" vertical="center"/>
    </xf>
    <xf numFmtId="0" fontId="119" fillId="30" borderId="109" xfId="0" applyFont="1" applyFill="1" applyBorder="1" applyAlignment="1">
      <alignment horizontal="center" vertical="center"/>
    </xf>
    <xf numFmtId="0" fontId="119" fillId="30" borderId="110" xfId="0" applyFont="1" applyFill="1" applyBorder="1" applyAlignment="1">
      <alignment horizontal="center" vertical="center"/>
    </xf>
    <xf numFmtId="0" fontId="119" fillId="30" borderId="111" xfId="0" applyFont="1" applyFill="1" applyBorder="1" applyAlignment="1">
      <alignment horizontal="center" vertical="center"/>
    </xf>
    <xf numFmtId="0" fontId="119" fillId="30" borderId="113" xfId="0" applyFont="1" applyFill="1" applyBorder="1" applyAlignment="1">
      <alignment horizontal="center" vertical="center"/>
    </xf>
    <xf numFmtId="0" fontId="119" fillId="30" borderId="112" xfId="0" applyFont="1" applyFill="1" applyBorder="1" applyAlignment="1">
      <alignment horizontal="center" vertical="center"/>
    </xf>
    <xf numFmtId="0" fontId="119" fillId="30" borderId="114" xfId="0" applyFont="1" applyFill="1" applyBorder="1" applyAlignment="1">
      <alignment horizontal="center" vertical="center"/>
    </xf>
    <xf numFmtId="0" fontId="93" fillId="15" borderId="0" xfId="0" applyFont="1" applyFill="1" applyAlignment="1">
      <alignment horizontal="center" vertical="center"/>
    </xf>
    <xf numFmtId="0" fontId="3" fillId="19" borderId="107" xfId="0" applyFont="1" applyFill="1" applyBorder="1" applyAlignment="1">
      <alignment horizontal="center" vertical="center"/>
    </xf>
    <xf numFmtId="0" fontId="3" fillId="19" borderId="108" xfId="0" applyFont="1" applyFill="1" applyBorder="1" applyAlignment="1">
      <alignment horizontal="center" vertical="center"/>
    </xf>
    <xf numFmtId="0" fontId="117" fillId="31" borderId="96" xfId="0" applyFont="1" applyFill="1" applyBorder="1" applyAlignment="1">
      <alignment horizontal="center" vertical="center"/>
    </xf>
    <xf numFmtId="0" fontId="117" fillId="31" borderId="95" xfId="0" applyFont="1" applyFill="1" applyBorder="1" applyAlignment="1">
      <alignment horizontal="center" vertical="center"/>
    </xf>
    <xf numFmtId="0" fontId="117" fillId="31" borderId="97" xfId="0" applyFont="1" applyFill="1" applyBorder="1" applyAlignment="1">
      <alignment horizontal="center" vertical="center"/>
    </xf>
    <xf numFmtId="0" fontId="117" fillId="31" borderId="98" xfId="0" applyFont="1" applyFill="1" applyBorder="1" applyAlignment="1">
      <alignment horizontal="center" vertical="center"/>
    </xf>
    <xf numFmtId="0" fontId="117" fillId="31" borderId="0" xfId="0" applyFont="1" applyFill="1" applyAlignment="1">
      <alignment horizontal="center" vertical="center"/>
    </xf>
    <xf numFmtId="0" fontId="117" fillId="31" borderId="99" xfId="0" applyFont="1" applyFill="1" applyBorder="1" applyAlignment="1">
      <alignment horizontal="center" vertical="center"/>
    </xf>
    <xf numFmtId="0" fontId="117" fillId="31" borderId="100" xfId="0" applyFont="1" applyFill="1" applyBorder="1" applyAlignment="1">
      <alignment horizontal="center" vertical="center"/>
    </xf>
    <xf numFmtId="0" fontId="117" fillId="31" borderId="101" xfId="0" applyFont="1" applyFill="1" applyBorder="1" applyAlignment="1">
      <alignment horizontal="center" vertical="center"/>
    </xf>
    <xf numFmtId="0" fontId="117" fillId="31" borderId="102" xfId="0" applyFont="1" applyFill="1" applyBorder="1" applyAlignment="1">
      <alignment horizontal="center" vertical="center"/>
    </xf>
    <xf numFmtId="0" fontId="3" fillId="19" borderId="104" xfId="0" applyFont="1" applyFill="1" applyBorder="1" applyAlignment="1">
      <alignment horizontal="center" vertical="center"/>
    </xf>
    <xf numFmtId="0" fontId="3" fillId="19" borderId="105" xfId="0" applyFont="1" applyFill="1" applyBorder="1" applyAlignment="1">
      <alignment horizontal="center" vertical="center"/>
    </xf>
    <xf numFmtId="0" fontId="19" fillId="10" borderId="88" xfId="0" applyFont="1" applyFill="1" applyBorder="1" applyAlignment="1">
      <alignment horizontal="left" vertical="center"/>
    </xf>
    <xf numFmtId="0" fontId="19" fillId="10" borderId="93" xfId="0" applyFont="1" applyFill="1" applyBorder="1" applyAlignment="1">
      <alignment horizontal="left" vertical="center"/>
    </xf>
    <xf numFmtId="0" fontId="19" fillId="10" borderId="89" xfId="0" applyFont="1" applyFill="1" applyBorder="1" applyAlignment="1">
      <alignment horizontal="left" vertical="center"/>
    </xf>
    <xf numFmtId="0" fontId="3" fillId="29" borderId="90" xfId="0" applyFont="1" applyFill="1" applyBorder="1" applyAlignment="1">
      <alignment horizontal="left" vertical="center"/>
    </xf>
    <xf numFmtId="0" fontId="3" fillId="29" borderId="0" xfId="0" applyFont="1" applyFill="1" applyAlignment="1">
      <alignment horizontal="left" vertical="center"/>
    </xf>
    <xf numFmtId="0" fontId="3" fillId="29" borderId="72" xfId="0" applyFont="1" applyFill="1" applyBorder="1" applyAlignment="1">
      <alignment horizontal="left" vertical="center"/>
    </xf>
    <xf numFmtId="0" fontId="3" fillId="19" borderId="118" xfId="0" applyFont="1" applyFill="1" applyBorder="1" applyAlignment="1">
      <alignment horizontal="center" vertical="center"/>
    </xf>
    <xf numFmtId="0" fontId="3" fillId="19" borderId="124" xfId="0" applyFont="1" applyFill="1" applyBorder="1" applyAlignment="1">
      <alignment horizontal="center" vertical="center"/>
    </xf>
    <xf numFmtId="0" fontId="3" fillId="19" borderId="125" xfId="0" applyFont="1" applyFill="1" applyBorder="1" applyAlignment="1">
      <alignment horizontal="center" vertical="center"/>
    </xf>
    <xf numFmtId="0" fontId="3" fillId="28" borderId="88" xfId="0" applyFont="1" applyFill="1" applyBorder="1" applyAlignment="1">
      <alignment horizontal="left" vertical="center"/>
    </xf>
    <xf numFmtId="0" fontId="3" fillId="28" borderId="93" xfId="0" applyFont="1" applyFill="1" applyBorder="1" applyAlignment="1">
      <alignment horizontal="left" vertical="center"/>
    </xf>
    <xf numFmtId="0" fontId="3" fillId="28" borderId="89" xfId="0" applyFont="1" applyFill="1" applyBorder="1" applyAlignment="1">
      <alignment horizontal="left" vertical="center"/>
    </xf>
    <xf numFmtId="0" fontId="3" fillId="29" borderId="90" xfId="0" applyFont="1" applyFill="1" applyBorder="1" applyAlignment="1">
      <alignment horizontal="left" vertical="top" wrapText="1"/>
    </xf>
    <xf numFmtId="0" fontId="3" fillId="29" borderId="0" xfId="0" applyFont="1" applyFill="1" applyAlignment="1">
      <alignment horizontal="left" vertical="top" wrapText="1"/>
    </xf>
    <xf numFmtId="0" fontId="3" fillId="29" borderId="72" xfId="0" applyFont="1" applyFill="1" applyBorder="1" applyAlignment="1">
      <alignment horizontal="left" vertical="top" wrapText="1"/>
    </xf>
    <xf numFmtId="0" fontId="118" fillId="16" borderId="0" xfId="0" applyFont="1" applyFill="1" applyAlignment="1">
      <alignment horizontal="center" vertical="center"/>
    </xf>
    <xf numFmtId="0" fontId="93" fillId="16" borderId="0" xfId="0" applyFont="1" applyFill="1" applyAlignment="1">
      <alignment horizontal="center" vertical="center"/>
    </xf>
    <xf numFmtId="0" fontId="118" fillId="33" borderId="0" xfId="0" applyFont="1" applyFill="1" applyAlignment="1">
      <alignment horizontal="center" vertical="center"/>
    </xf>
    <xf numFmtId="2" fontId="120" fillId="32" borderId="129" xfId="0" applyNumberFormat="1" applyFont="1" applyFill="1" applyBorder="1" applyAlignment="1">
      <alignment horizontal="center" vertical="center" wrapText="1"/>
    </xf>
    <xf numFmtId="2" fontId="120" fillId="32" borderId="130" xfId="0" applyNumberFormat="1" applyFont="1" applyFill="1" applyBorder="1" applyAlignment="1">
      <alignment horizontal="center" vertical="center" wrapText="1"/>
    </xf>
    <xf numFmtId="2" fontId="120" fillId="32" borderId="131" xfId="0" applyNumberFormat="1" applyFont="1" applyFill="1" applyBorder="1" applyAlignment="1">
      <alignment horizontal="center" vertical="center" wrapText="1"/>
    </xf>
    <xf numFmtId="2" fontId="120" fillId="32" borderId="132" xfId="0" applyNumberFormat="1" applyFont="1" applyFill="1" applyBorder="1" applyAlignment="1">
      <alignment horizontal="center" vertical="center" wrapText="1"/>
    </xf>
    <xf numFmtId="2" fontId="120" fillId="32" borderId="0" xfId="0" applyNumberFormat="1" applyFont="1" applyFill="1" applyAlignment="1">
      <alignment horizontal="center" vertical="center" wrapText="1"/>
    </xf>
    <xf numFmtId="2" fontId="120" fillId="32" borderId="133" xfId="0" applyNumberFormat="1" applyFont="1" applyFill="1" applyBorder="1" applyAlignment="1">
      <alignment horizontal="center" vertical="center" wrapText="1"/>
    </xf>
    <xf numFmtId="2" fontId="120" fillId="32" borderId="134" xfId="0" applyNumberFormat="1" applyFont="1" applyFill="1" applyBorder="1" applyAlignment="1">
      <alignment horizontal="center" vertical="center" wrapText="1"/>
    </xf>
    <xf numFmtId="2" fontId="120" fillId="32" borderId="135" xfId="0" applyNumberFormat="1" applyFont="1" applyFill="1" applyBorder="1" applyAlignment="1">
      <alignment horizontal="center" vertical="center" wrapText="1"/>
    </xf>
    <xf numFmtId="2" fontId="120" fillId="32" borderId="136" xfId="0" applyNumberFormat="1" applyFont="1" applyFill="1" applyBorder="1" applyAlignment="1">
      <alignment horizontal="center" vertical="center" wrapText="1"/>
    </xf>
    <xf numFmtId="2" fontId="120" fillId="32" borderId="123" xfId="0" applyNumberFormat="1" applyFont="1" applyFill="1" applyBorder="1" applyAlignment="1">
      <alignment horizontal="center" vertical="center" wrapText="1"/>
    </xf>
    <xf numFmtId="2" fontId="120" fillId="32" borderId="122" xfId="0" applyNumberFormat="1" applyFont="1" applyFill="1" applyBorder="1" applyAlignment="1">
      <alignment horizontal="center" vertical="center" wrapText="1"/>
    </xf>
    <xf numFmtId="2" fontId="120" fillId="32" borderId="121" xfId="0" applyNumberFormat="1" applyFont="1" applyFill="1" applyBorder="1" applyAlignment="1">
      <alignment horizontal="center" vertical="center" wrapText="1"/>
    </xf>
    <xf numFmtId="0" fontId="93" fillId="33" borderId="0" xfId="0" applyFont="1" applyFill="1" applyAlignment="1">
      <alignment horizontal="center" vertical="center"/>
    </xf>
    <xf numFmtId="0" fontId="3" fillId="19" borderId="126" xfId="0" applyFont="1" applyFill="1" applyBorder="1" applyAlignment="1">
      <alignment horizontal="center" vertical="center"/>
    </xf>
    <xf numFmtId="0" fontId="3" fillId="26" borderId="148" xfId="0" applyFont="1" applyFill="1" applyBorder="1" applyAlignment="1">
      <alignment horizontal="left" vertical="center"/>
    </xf>
    <xf numFmtId="0" fontId="3" fillId="26" borderId="149" xfId="0" applyFont="1" applyFill="1" applyBorder="1" applyAlignment="1">
      <alignment horizontal="left" vertical="center"/>
    </xf>
    <xf numFmtId="0" fontId="3" fillId="26" borderId="150" xfId="0" applyFont="1" applyFill="1" applyBorder="1" applyAlignment="1">
      <alignment horizontal="left" vertical="center"/>
    </xf>
    <xf numFmtId="0" fontId="3" fillId="27" borderId="85" xfId="0" applyFont="1" applyFill="1" applyBorder="1" applyAlignment="1">
      <alignment horizontal="left" vertical="top" wrapText="1"/>
    </xf>
    <xf numFmtId="0" fontId="3" fillId="26" borderId="152" xfId="0" applyFont="1" applyFill="1" applyBorder="1" applyAlignment="1">
      <alignment horizontal="left" vertical="center"/>
    </xf>
    <xf numFmtId="0" fontId="3" fillId="26" borderId="153" xfId="0" applyFont="1" applyFill="1" applyBorder="1" applyAlignment="1">
      <alignment horizontal="left" vertical="center"/>
    </xf>
    <xf numFmtId="0" fontId="3" fillId="26" borderId="154" xfId="0" applyFont="1" applyFill="1" applyBorder="1" applyAlignment="1">
      <alignment horizontal="left" vertical="center"/>
    </xf>
    <xf numFmtId="0" fontId="3" fillId="19" borderId="183" xfId="0" applyFont="1" applyFill="1" applyBorder="1" applyAlignment="1">
      <alignment horizontal="center" vertical="center"/>
    </xf>
    <xf numFmtId="0" fontId="119" fillId="30" borderId="175" xfId="0" applyFont="1" applyFill="1" applyBorder="1" applyAlignment="1">
      <alignment horizontal="center" vertical="center"/>
    </xf>
    <xf numFmtId="0" fontId="119" fillId="30" borderId="176" xfId="0" applyFont="1" applyFill="1" applyBorder="1" applyAlignment="1">
      <alignment horizontal="center" vertical="center"/>
    </xf>
    <xf numFmtId="0" fontId="119" fillId="30" borderId="177" xfId="0" applyFont="1" applyFill="1" applyBorder="1" applyAlignment="1">
      <alignment horizontal="center" vertical="center"/>
    </xf>
    <xf numFmtId="0" fontId="119" fillId="30" borderId="178" xfId="0" applyFont="1" applyFill="1" applyBorder="1" applyAlignment="1">
      <alignment horizontal="center" vertical="center"/>
    </xf>
    <xf numFmtId="0" fontId="119" fillId="30" borderId="0" xfId="0" applyFont="1" applyFill="1" applyAlignment="1">
      <alignment horizontal="center" vertical="center"/>
    </xf>
    <xf numFmtId="0" fontId="119" fillId="30" borderId="179" xfId="0" applyFont="1" applyFill="1" applyBorder="1" applyAlignment="1">
      <alignment horizontal="center" vertical="center"/>
    </xf>
    <xf numFmtId="0" fontId="119" fillId="30" borderId="180" xfId="0" applyFont="1" applyFill="1" applyBorder="1" applyAlignment="1">
      <alignment horizontal="center" vertical="center"/>
    </xf>
    <xf numFmtId="0" fontId="119" fillId="30" borderId="181" xfId="0" applyFont="1" applyFill="1" applyBorder="1" applyAlignment="1">
      <alignment horizontal="center" vertical="center"/>
    </xf>
    <xf numFmtId="0" fontId="119" fillId="30" borderId="182" xfId="0" applyFont="1" applyFill="1" applyBorder="1" applyAlignment="1">
      <alignment horizontal="center" vertical="center"/>
    </xf>
    <xf numFmtId="0" fontId="123" fillId="26" borderId="148" xfId="0" applyFont="1" applyFill="1" applyBorder="1" applyAlignment="1">
      <alignment horizontal="left" vertical="center"/>
    </xf>
    <xf numFmtId="0" fontId="123" fillId="26" borderId="149" xfId="0" applyFont="1" applyFill="1" applyBorder="1" applyAlignment="1">
      <alignment horizontal="left" vertical="center"/>
    </xf>
    <xf numFmtId="0" fontId="123" fillId="26" borderId="150" xfId="0" applyFont="1" applyFill="1" applyBorder="1" applyAlignment="1">
      <alignment horizontal="left" vertical="center"/>
    </xf>
    <xf numFmtId="0" fontId="123" fillId="27" borderId="3" xfId="0" applyFont="1" applyFill="1" applyBorder="1" applyAlignment="1">
      <alignment horizontal="left" vertical="top" wrapText="1"/>
    </xf>
    <xf numFmtId="0" fontId="123" fillId="27" borderId="20" xfId="0" applyFont="1" applyFill="1" applyBorder="1" applyAlignment="1">
      <alignment horizontal="left" vertical="top" wrapText="1"/>
    </xf>
    <xf numFmtId="0" fontId="123" fillId="27" borderId="171" xfId="0" applyFont="1" applyFill="1" applyBorder="1" applyAlignment="1">
      <alignment horizontal="left" vertical="top" wrapText="1"/>
    </xf>
    <xf numFmtId="0" fontId="123" fillId="26" borderId="152" xfId="0" applyFont="1" applyFill="1" applyBorder="1" applyAlignment="1">
      <alignment horizontal="left" vertical="center"/>
    </xf>
    <xf numFmtId="0" fontId="123" fillId="26" borderId="153" xfId="0" applyFont="1" applyFill="1" applyBorder="1" applyAlignment="1">
      <alignment horizontal="left" vertical="center"/>
    </xf>
    <xf numFmtId="0" fontId="123" fillId="26" borderId="154" xfId="0" applyFont="1" applyFill="1" applyBorder="1" applyAlignment="1">
      <alignment horizontal="left" vertical="center"/>
    </xf>
    <xf numFmtId="0" fontId="3" fillId="20" borderId="88" xfId="0" applyFont="1" applyFill="1" applyBorder="1" applyAlignment="1">
      <alignment horizontal="left" vertical="center"/>
    </xf>
    <xf numFmtId="0" fontId="3" fillId="20" borderId="93" xfId="0" applyFont="1" applyFill="1" applyBorder="1" applyAlignment="1">
      <alignment horizontal="left" vertical="center"/>
    </xf>
    <xf numFmtId="0" fontId="3" fillId="20" borderId="89" xfId="0" applyFont="1" applyFill="1" applyBorder="1" applyAlignment="1">
      <alignment horizontal="left" vertical="center"/>
    </xf>
    <xf numFmtId="0" fontId="117" fillId="31" borderId="94" xfId="0" applyFont="1" applyFill="1" applyBorder="1" applyAlignment="1">
      <alignment horizontal="center" vertical="center"/>
    </xf>
    <xf numFmtId="0" fontId="93" fillId="24" borderId="0" xfId="0" applyFont="1" applyFill="1" applyAlignment="1">
      <alignment horizontal="center" vertical="center"/>
    </xf>
    <xf numFmtId="0" fontId="3" fillId="19" borderId="106" xfId="0" applyFont="1" applyFill="1" applyBorder="1" applyAlignment="1">
      <alignment horizontal="center" vertical="center"/>
    </xf>
    <xf numFmtId="0" fontId="3" fillId="19" borderId="103" xfId="0" applyFont="1" applyFill="1" applyBorder="1" applyAlignment="1">
      <alignment horizontal="center" vertical="center"/>
    </xf>
    <xf numFmtId="0" fontId="3" fillId="25" borderId="88" xfId="0" applyFont="1" applyFill="1" applyBorder="1" applyAlignment="1">
      <alignment horizontal="left" vertical="top"/>
    </xf>
    <xf numFmtId="0" fontId="3" fillId="25" borderId="93" xfId="0" applyFont="1" applyFill="1" applyBorder="1" applyAlignment="1">
      <alignment horizontal="left" vertical="top"/>
    </xf>
    <xf numFmtId="0" fontId="3" fillId="25" borderId="89" xfId="0" applyFont="1" applyFill="1" applyBorder="1" applyAlignment="1">
      <alignment horizontal="left" vertical="top"/>
    </xf>
    <xf numFmtId="44" fontId="3" fillId="20" borderId="88" xfId="3" applyFont="1" applyFill="1" applyBorder="1" applyAlignment="1">
      <alignment horizontal="left" vertical="center"/>
    </xf>
    <xf numFmtId="44" fontId="3" fillId="20" borderId="93" xfId="3" applyFont="1" applyFill="1" applyBorder="1" applyAlignment="1">
      <alignment horizontal="left" vertical="center"/>
    </xf>
    <xf numFmtId="44" fontId="3" fillId="20" borderId="89" xfId="3" applyFont="1" applyFill="1" applyBorder="1" applyAlignment="1">
      <alignment horizontal="left" vertical="center"/>
    </xf>
    <xf numFmtId="0" fontId="3" fillId="5" borderId="141" xfId="0" applyFont="1" applyFill="1" applyBorder="1"/>
    <xf numFmtId="0" fontId="79" fillId="10" borderId="0" xfId="0" applyFont="1" applyFill="1" applyAlignment="1">
      <alignment horizontal="left" vertical="center"/>
    </xf>
    <xf numFmtId="0" fontId="80" fillId="10" borderId="86" xfId="0" applyFont="1" applyFill="1" applyBorder="1" applyAlignment="1">
      <alignment horizontal="left" vertical="center"/>
    </xf>
    <xf numFmtId="0" fontId="80" fillId="10" borderId="0" xfId="0" applyFont="1" applyFill="1" applyAlignment="1">
      <alignment horizontal="left" vertical="center"/>
    </xf>
    <xf numFmtId="0" fontId="84" fillId="10" borderId="86" xfId="0" applyFont="1" applyFill="1" applyBorder="1" applyAlignment="1">
      <alignment horizontal="left" vertical="center"/>
    </xf>
    <xf numFmtId="0" fontId="84" fillId="10" borderId="0" xfId="0" applyFont="1" applyFill="1" applyAlignment="1">
      <alignment horizontal="left" vertical="center"/>
    </xf>
    <xf numFmtId="0" fontId="81" fillId="10" borderId="58" xfId="0" applyFont="1" applyFill="1" applyBorder="1" applyAlignment="1">
      <alignment horizontal="left" vertical="center"/>
    </xf>
    <xf numFmtId="0" fontId="81" fillId="10" borderId="142" xfId="0" applyFont="1" applyFill="1" applyBorder="1" applyAlignment="1">
      <alignment horizontal="left" vertical="center"/>
    </xf>
    <xf numFmtId="0" fontId="81" fillId="10" borderId="59" xfId="0" applyFont="1" applyFill="1" applyBorder="1" applyAlignment="1">
      <alignment horizontal="left" vertical="center"/>
    </xf>
    <xf numFmtId="0" fontId="116" fillId="5" borderId="0" xfId="0" applyFont="1" applyFill="1" applyAlignment="1">
      <alignment horizontal="center" vertical="center"/>
    </xf>
    <xf numFmtId="0" fontId="0" fillId="5" borderId="0" xfId="0" applyFill="1" applyAlignment="1">
      <alignment horizontal="center"/>
    </xf>
    <xf numFmtId="0" fontId="121" fillId="5" borderId="0" xfId="0" applyFont="1" applyFill="1" applyAlignment="1">
      <alignment horizontal="left" vertical="top"/>
    </xf>
    <xf numFmtId="0" fontId="114" fillId="5" borderId="0" xfId="0" applyFont="1" applyFill="1" applyAlignment="1">
      <alignment horizontal="left" vertical="top"/>
    </xf>
    <xf numFmtId="0" fontId="115" fillId="5" borderId="0" xfId="0" applyFont="1" applyFill="1" applyAlignment="1">
      <alignment horizontal="left" vertical="top"/>
    </xf>
    <xf numFmtId="0" fontId="144" fillId="33" borderId="0" xfId="0" applyFont="1" applyFill="1" applyAlignment="1">
      <alignment horizontal="center" vertical="center" wrapText="1"/>
    </xf>
    <xf numFmtId="0" fontId="17" fillId="20" borderId="137" xfId="0" applyFont="1" applyFill="1" applyBorder="1" applyAlignment="1">
      <alignment horizontal="left" vertical="center"/>
    </xf>
    <xf numFmtId="0" fontId="17" fillId="27" borderId="138" xfId="0" applyFont="1" applyFill="1" applyBorder="1" applyAlignment="1">
      <alignment horizontal="left"/>
    </xf>
    <xf numFmtId="0" fontId="17" fillId="27" borderId="140" xfId="0" applyFont="1" applyFill="1" applyBorder="1" applyAlignment="1">
      <alignment horizontal="left"/>
    </xf>
    <xf numFmtId="0" fontId="17" fillId="27" borderId="139" xfId="0" applyFont="1" applyFill="1" applyBorder="1" applyAlignment="1">
      <alignment horizontal="left"/>
    </xf>
    <xf numFmtId="0" fontId="17" fillId="20" borderId="138" xfId="0" applyFont="1" applyFill="1" applyBorder="1" applyAlignment="1">
      <alignment horizontal="left" vertical="center"/>
    </xf>
    <xf numFmtId="0" fontId="17" fillId="20" borderId="139" xfId="0" applyFont="1" applyFill="1" applyBorder="1" applyAlignment="1">
      <alignment horizontal="left" vertical="center"/>
    </xf>
    <xf numFmtId="0" fontId="144" fillId="24" borderId="0" xfId="0" applyFont="1" applyFill="1" applyAlignment="1">
      <alignment horizontal="center" vertical="center" wrapText="1"/>
    </xf>
    <xf numFmtId="0" fontId="144" fillId="15" borderId="0" xfId="0" applyFont="1" applyFill="1" applyAlignment="1">
      <alignment horizontal="center" vertical="center" wrapText="1"/>
    </xf>
    <xf numFmtId="0" fontId="144" fillId="16" borderId="0" xfId="0" applyFont="1" applyFill="1" applyAlignment="1">
      <alignment horizontal="center" vertical="center" wrapText="1"/>
    </xf>
    <xf numFmtId="0" fontId="3" fillId="5" borderId="0" xfId="0" applyFont="1" applyFill="1"/>
    <xf numFmtId="0" fontId="129" fillId="5" borderId="0" xfId="0" applyFont="1" applyFill="1" applyAlignment="1">
      <alignment horizontal="left" vertical="center"/>
    </xf>
    <xf numFmtId="0" fontId="80" fillId="5" borderId="0" xfId="0" applyFont="1" applyFill="1" applyAlignment="1">
      <alignment horizontal="left" vertical="center"/>
    </xf>
    <xf numFmtId="0" fontId="84" fillId="5" borderId="0" xfId="0" applyFont="1" applyFill="1" applyAlignment="1">
      <alignment horizontal="left" vertical="center"/>
    </xf>
    <xf numFmtId="0" fontId="81" fillId="5" borderId="0" xfId="0" applyFont="1" applyFill="1" applyAlignment="1">
      <alignment horizontal="left" vertical="center"/>
    </xf>
    <xf numFmtId="0" fontId="120" fillId="5" borderId="0" xfId="0" applyFont="1" applyFill="1" applyAlignment="1">
      <alignment horizontal="center" vertical="center" wrapText="1"/>
    </xf>
    <xf numFmtId="0" fontId="3" fillId="5" borderId="0" xfId="0" applyFont="1" applyFill="1" applyAlignment="1">
      <alignment horizontal="center" vertical="center"/>
    </xf>
    <xf numFmtId="0" fontId="3" fillId="5" borderId="0" xfId="0" applyFont="1" applyFill="1" applyAlignment="1">
      <alignment horizontal="left" vertical="center"/>
    </xf>
    <xf numFmtId="0" fontId="93" fillId="33" borderId="0" xfId="0" applyFont="1" applyFill="1" applyAlignment="1">
      <alignment horizontal="center" vertical="center" wrapText="1"/>
    </xf>
    <xf numFmtId="0" fontId="93" fillId="5" borderId="0" xfId="0" applyFont="1" applyFill="1" applyAlignment="1">
      <alignment horizontal="center" vertical="center"/>
    </xf>
    <xf numFmtId="0" fontId="118" fillId="5" borderId="0" xfId="0" applyFont="1" applyFill="1" applyAlignment="1">
      <alignment horizontal="center" vertical="center"/>
    </xf>
    <xf numFmtId="2" fontId="120" fillId="5" borderId="0" xfId="0" applyNumberFormat="1" applyFont="1" applyFill="1" applyAlignment="1">
      <alignment horizontal="center" vertical="center" wrapText="1"/>
    </xf>
    <xf numFmtId="0" fontId="3" fillId="5" borderId="0" xfId="0" applyFont="1" applyFill="1" applyAlignment="1">
      <alignment horizontal="left" vertical="top" wrapText="1"/>
    </xf>
    <xf numFmtId="0" fontId="119" fillId="5" borderId="0" xfId="0" applyFont="1" applyFill="1" applyAlignment="1">
      <alignment horizontal="center" vertical="center"/>
    </xf>
    <xf numFmtId="0" fontId="3" fillId="26" borderId="155" xfId="0" applyFont="1" applyFill="1" applyBorder="1" applyAlignment="1">
      <alignment horizontal="left" vertical="center"/>
    </xf>
    <xf numFmtId="0" fontId="3" fillId="26" borderId="20" xfId="0" applyFont="1" applyFill="1" applyBorder="1" applyAlignment="1">
      <alignment horizontal="left" vertical="center"/>
    </xf>
    <xf numFmtId="0" fontId="3" fillId="26" borderId="19" xfId="0" applyFont="1" applyFill="1" applyBorder="1" applyAlignment="1">
      <alignment horizontal="left" vertical="center"/>
    </xf>
    <xf numFmtId="0" fontId="93" fillId="16" borderId="0" xfId="0" applyFont="1" applyFill="1" applyAlignment="1">
      <alignment horizontal="center" vertical="center" wrapText="1"/>
    </xf>
    <xf numFmtId="0" fontId="93" fillId="15" borderId="0" xfId="0" applyFont="1" applyFill="1" applyAlignment="1">
      <alignment horizontal="center" vertical="center" wrapText="1"/>
    </xf>
    <xf numFmtId="0" fontId="3" fillId="26" borderId="88" xfId="0" applyFont="1" applyFill="1" applyBorder="1" applyAlignment="1">
      <alignment horizontal="left" vertical="center"/>
    </xf>
    <xf numFmtId="0" fontId="3" fillId="26" borderId="93" xfId="0" applyFont="1" applyFill="1" applyBorder="1" applyAlignment="1">
      <alignment horizontal="left" vertical="center"/>
    </xf>
    <xf numFmtId="0" fontId="3" fillId="26" borderId="151" xfId="0" applyFont="1" applyFill="1" applyBorder="1" applyAlignment="1">
      <alignment horizontal="left" vertical="center"/>
    </xf>
    <xf numFmtId="0" fontId="123" fillId="5" borderId="0" xfId="0" applyFont="1" applyFill="1" applyAlignment="1">
      <alignment horizontal="left" vertical="top" wrapText="1"/>
    </xf>
    <xf numFmtId="0" fontId="117" fillId="5" borderId="0" xfId="0" applyFont="1" applyFill="1" applyAlignment="1">
      <alignment horizontal="center" vertical="center"/>
    </xf>
    <xf numFmtId="0" fontId="3" fillId="25" borderId="88" xfId="0" applyFont="1" applyFill="1" applyBorder="1" applyAlignment="1">
      <alignment horizontal="left" vertical="center"/>
    </xf>
    <xf numFmtId="0" fontId="3" fillId="25" borderId="93" xfId="0" applyFont="1" applyFill="1" applyBorder="1" applyAlignment="1">
      <alignment horizontal="left" vertical="center"/>
    </xf>
    <xf numFmtId="0" fontId="3" fillId="25" borderId="89" xfId="0" applyFont="1" applyFill="1" applyBorder="1" applyAlignment="1">
      <alignment horizontal="left" vertical="center"/>
    </xf>
    <xf numFmtId="0" fontId="3" fillId="25" borderId="90" xfId="0" applyFont="1" applyFill="1" applyBorder="1" applyAlignment="1">
      <alignment horizontal="left" vertical="center"/>
    </xf>
    <xf numFmtId="0" fontId="3" fillId="25" borderId="0" xfId="0" applyFont="1" applyFill="1" applyAlignment="1">
      <alignment horizontal="left" vertical="center"/>
    </xf>
    <xf numFmtId="0" fontId="93" fillId="24" borderId="0" xfId="0" applyFont="1" applyFill="1" applyAlignment="1">
      <alignment horizontal="center" vertical="center" wrapText="1"/>
    </xf>
    <xf numFmtId="10" fontId="0" fillId="5" borderId="0" xfId="0" applyNumberFormat="1" applyFill="1" applyAlignment="1">
      <alignment vertical="top" wrapText="1"/>
    </xf>
    <xf numFmtId="10" fontId="0" fillId="5" borderId="0" xfId="0" applyNumberFormat="1" applyFill="1" applyAlignment="1">
      <alignment horizontal="left" vertical="top" wrapText="1"/>
    </xf>
    <xf numFmtId="0" fontId="134" fillId="16" borderId="0" xfId="0" applyFont="1" applyFill="1" applyAlignment="1">
      <alignment horizontal="center" vertical="center" wrapText="1"/>
    </xf>
    <xf numFmtId="0" fontId="134" fillId="5" borderId="0" xfId="0" applyFont="1" applyFill="1" applyAlignment="1">
      <alignment horizontal="left" vertical="center"/>
    </xf>
    <xf numFmtId="0" fontId="134" fillId="33" borderId="0" xfId="0" applyFont="1" applyFill="1" applyAlignment="1">
      <alignment horizontal="center" vertical="center" wrapText="1"/>
    </xf>
    <xf numFmtId="0" fontId="134" fillId="24" borderId="0" xfId="0" applyFont="1" applyFill="1" applyAlignment="1">
      <alignment horizontal="center" vertical="center" wrapText="1"/>
    </xf>
    <xf numFmtId="0" fontId="134" fillId="15" borderId="0" xfId="0" applyFont="1" applyFill="1" applyAlignment="1">
      <alignment horizontal="center" vertical="center" wrapText="1"/>
    </xf>
    <xf numFmtId="0" fontId="93" fillId="33" borderId="0" xfId="0" applyFont="1" applyFill="1" applyAlignment="1">
      <alignment horizontal="left" vertical="center"/>
    </xf>
    <xf numFmtId="0" fontId="0" fillId="10" borderId="91" xfId="0" applyFill="1" applyBorder="1" applyAlignment="1" applyProtection="1">
      <alignment horizontal="center" vertical="center"/>
      <protection locked="0"/>
    </xf>
    <xf numFmtId="0" fontId="0" fillId="10" borderId="92" xfId="0" applyFill="1" applyBorder="1" applyAlignment="1" applyProtection="1">
      <alignment horizontal="center" vertical="center"/>
      <protection locked="0"/>
    </xf>
    <xf numFmtId="0" fontId="119" fillId="30" borderId="113" xfId="0" applyFont="1" applyFill="1" applyBorder="1" applyAlignment="1">
      <alignment horizontal="center" vertical="center" wrapText="1"/>
    </xf>
    <xf numFmtId="0" fontId="119" fillId="30" borderId="112" xfId="0" applyFont="1" applyFill="1" applyBorder="1" applyAlignment="1">
      <alignment horizontal="center" vertical="center" wrapText="1"/>
    </xf>
    <xf numFmtId="0" fontId="119" fillId="30" borderId="114" xfId="0" applyFont="1" applyFill="1" applyBorder="1" applyAlignment="1">
      <alignment horizontal="center" vertical="center" wrapText="1"/>
    </xf>
    <xf numFmtId="0" fontId="119" fillId="0" borderId="181" xfId="0" applyFont="1" applyBorder="1" applyAlignment="1">
      <alignment horizontal="center" vertical="center"/>
    </xf>
    <xf numFmtId="0" fontId="119" fillId="0" borderId="112" xfId="0" applyFont="1" applyBorder="1" applyAlignment="1">
      <alignment horizontal="center" vertical="center"/>
    </xf>
    <xf numFmtId="0" fontId="119" fillId="0" borderId="176" xfId="0" applyFont="1" applyBorder="1" applyAlignment="1">
      <alignment horizontal="center" vertical="center"/>
    </xf>
    <xf numFmtId="0" fontId="119" fillId="30" borderId="109" xfId="0" applyFont="1" applyFill="1" applyBorder="1" applyAlignment="1">
      <alignment horizontal="center" vertical="center" wrapText="1"/>
    </xf>
    <xf numFmtId="0" fontId="119" fillId="30" borderId="110" xfId="0" applyFont="1" applyFill="1" applyBorder="1" applyAlignment="1">
      <alignment horizontal="center" vertical="center" wrapText="1"/>
    </xf>
    <xf numFmtId="0" fontId="119" fillId="30" borderId="111" xfId="0" applyFont="1" applyFill="1" applyBorder="1" applyAlignment="1">
      <alignment horizontal="center" vertical="center" wrapText="1"/>
    </xf>
    <xf numFmtId="0" fontId="3" fillId="0" borderId="184" xfId="0" applyFont="1" applyBorder="1" applyAlignment="1">
      <alignment horizontal="center" vertical="center"/>
    </xf>
    <xf numFmtId="0" fontId="3" fillId="0" borderId="20" xfId="0" applyFont="1" applyBorder="1" applyAlignment="1">
      <alignment horizontal="center" vertical="center"/>
    </xf>
    <xf numFmtId="0" fontId="3" fillId="0" borderId="185" xfId="0" applyFont="1" applyBorder="1" applyAlignment="1">
      <alignment horizontal="center" vertical="center"/>
    </xf>
    <xf numFmtId="0" fontId="9" fillId="5" borderId="0" xfId="1" applyFill="1" applyAlignment="1" applyProtection="1">
      <alignment horizontal="left" vertical="top" wrapText="1"/>
      <protection locked="0"/>
    </xf>
    <xf numFmtId="0" fontId="9" fillId="5" borderId="0" xfId="1" applyFill="1" applyAlignment="1" applyProtection="1">
      <alignment horizontal="left" vertical="top"/>
      <protection locked="0"/>
    </xf>
    <xf numFmtId="0" fontId="43" fillId="5" borderId="0" xfId="1" applyFont="1" applyFill="1" applyAlignment="1" applyProtection="1">
      <alignment horizontal="left" vertical="top"/>
      <protection locked="0"/>
    </xf>
    <xf numFmtId="0" fontId="9" fillId="0" borderId="0" xfId="1" applyAlignment="1" applyProtection="1">
      <alignment horizontal="left"/>
      <protection locked="0"/>
    </xf>
    <xf numFmtId="0" fontId="43" fillId="0" borderId="0" xfId="1" applyFont="1" applyAlignment="1" applyProtection="1">
      <alignment horizontal="left"/>
      <protection locked="0"/>
    </xf>
    <xf numFmtId="0" fontId="9" fillId="5" borderId="0" xfId="1" applyFill="1" applyAlignment="1" applyProtection="1">
      <alignment horizontal="left"/>
      <protection locked="0"/>
    </xf>
    <xf numFmtId="0" fontId="43" fillId="5" borderId="0" xfId="1" applyFont="1" applyFill="1" applyAlignment="1" applyProtection="1">
      <alignment horizontal="left"/>
      <protection locked="0"/>
    </xf>
    <xf numFmtId="0" fontId="43" fillId="5" borderId="0" xfId="1" applyFont="1" applyFill="1" applyAlignment="1" applyProtection="1">
      <alignment horizontal="left" vertical="top" wrapText="1"/>
      <protection locked="0"/>
    </xf>
    <xf numFmtId="0" fontId="0" fillId="5" borderId="0" xfId="0" applyFill="1"/>
    <xf numFmtId="0" fontId="22" fillId="5" borderId="0" xfId="0" applyFont="1" applyFill="1" applyAlignment="1">
      <alignment horizontal="left" vertical="top" wrapText="1"/>
    </xf>
    <xf numFmtId="0" fontId="26" fillId="5" borderId="0" xfId="0" applyFont="1" applyFill="1" applyAlignment="1">
      <alignment horizontal="left" vertical="top" wrapText="1"/>
    </xf>
    <xf numFmtId="49" fontId="14" fillId="5" borderId="0" xfId="0" applyNumberFormat="1" applyFont="1" applyFill="1" applyAlignment="1">
      <alignment horizontal="right"/>
    </xf>
    <xf numFmtId="0" fontId="0" fillId="5" borderId="1" xfId="0" applyFill="1" applyBorder="1" applyAlignment="1">
      <alignment horizontal="left" wrapText="1"/>
    </xf>
    <xf numFmtId="49" fontId="22" fillId="5" borderId="0" xfId="0" applyNumberFormat="1" applyFont="1" applyFill="1" applyAlignment="1">
      <alignment horizontal="right"/>
    </xf>
    <xf numFmtId="0" fontId="22" fillId="5" borderId="0" xfId="0" applyFont="1" applyFill="1" applyAlignment="1">
      <alignment horizontal="left"/>
    </xf>
    <xf numFmtId="0" fontId="64" fillId="5" borderId="0" xfId="0" applyFont="1" applyFill="1" applyAlignment="1" applyProtection="1">
      <alignment horizontal="left" vertical="top"/>
      <protection locked="0"/>
    </xf>
    <xf numFmtId="0" fontId="64" fillId="5" borderId="0" xfId="0" applyFont="1" applyFill="1" applyAlignment="1" applyProtection="1">
      <alignment horizontal="left" vertical="top" wrapText="1"/>
      <protection locked="0"/>
    </xf>
    <xf numFmtId="0" fontId="0" fillId="5" borderId="0" xfId="0" applyFill="1" applyAlignment="1">
      <alignment horizontal="left" vertical="top"/>
    </xf>
    <xf numFmtId="0" fontId="31" fillId="5" borderId="0" xfId="0" applyFont="1" applyFill="1" applyAlignment="1">
      <alignment horizontal="center"/>
    </xf>
    <xf numFmtId="0" fontId="51" fillId="5" borderId="0" xfId="0" applyFont="1" applyFill="1" applyAlignment="1">
      <alignment horizontal="center" wrapText="1"/>
    </xf>
    <xf numFmtId="0" fontId="8" fillId="10" borderId="37"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0" fillId="10" borderId="37" xfId="0" applyFill="1" applyBorder="1" applyAlignment="1" applyProtection="1">
      <alignment horizontal="center" vertical="center"/>
      <protection locked="0"/>
    </xf>
    <xf numFmtId="0" fontId="0" fillId="10" borderId="38" xfId="0" applyFill="1" applyBorder="1" applyAlignment="1" applyProtection="1">
      <alignment horizontal="center" vertical="center"/>
      <protection locked="0"/>
    </xf>
    <xf numFmtId="0" fontId="0" fillId="10" borderId="39" xfId="0" applyFill="1" applyBorder="1" applyAlignment="1" applyProtection="1">
      <alignment horizontal="center" vertical="center"/>
      <protection locked="0"/>
    </xf>
    <xf numFmtId="0" fontId="9" fillId="5" borderId="0" xfId="1" applyFill="1" applyAlignment="1" applyProtection="1">
      <alignment wrapText="1"/>
      <protection locked="0"/>
    </xf>
    <xf numFmtId="0" fontId="22" fillId="5" borderId="0" xfId="0" applyFont="1" applyFill="1" applyAlignment="1">
      <alignment horizontal="left" wrapText="1"/>
    </xf>
    <xf numFmtId="0" fontId="26" fillId="5" borderId="0" xfId="0" applyFont="1" applyFill="1" applyAlignment="1">
      <alignment horizontal="left" wrapText="1"/>
    </xf>
    <xf numFmtId="0" fontId="0" fillId="0" borderId="0" xfId="0" applyAlignment="1">
      <alignment horizontal="left" wrapText="1"/>
    </xf>
    <xf numFmtId="0" fontId="9" fillId="5" borderId="0" xfId="1" applyFill="1" applyAlignment="1" applyProtection="1">
      <alignment horizontal="left" wrapText="1"/>
      <protection locked="0"/>
    </xf>
    <xf numFmtId="0" fontId="14" fillId="5" borderId="13" xfId="0" applyFont="1" applyFill="1" applyBorder="1" applyAlignment="1">
      <alignment horizontal="center"/>
    </xf>
    <xf numFmtId="0" fontId="14" fillId="5" borderId="1" xfId="0" applyFont="1" applyFill="1" applyBorder="1" applyAlignment="1">
      <alignment horizontal="center"/>
    </xf>
    <xf numFmtId="2" fontId="14" fillId="5" borderId="8" xfId="2" applyNumberFormat="1" applyFont="1" applyFill="1" applyBorder="1" applyAlignment="1">
      <alignment horizontal="center" wrapText="1"/>
    </xf>
    <xf numFmtId="2" fontId="14" fillId="5" borderId="9" xfId="2" applyNumberFormat="1" applyFont="1" applyFill="1" applyBorder="1" applyAlignment="1">
      <alignment horizontal="center" wrapText="1"/>
    </xf>
    <xf numFmtId="2" fontId="14" fillId="5" borderId="10" xfId="2" applyNumberFormat="1" applyFont="1" applyFill="1" applyBorder="1" applyAlignment="1">
      <alignment horizontal="center" wrapText="1"/>
    </xf>
    <xf numFmtId="49" fontId="23" fillId="5" borderId="5" xfId="0" applyNumberFormat="1" applyFont="1" applyFill="1" applyBorder="1" applyAlignment="1">
      <alignment horizontal="left"/>
    </xf>
    <xf numFmtId="49" fontId="23" fillId="5" borderId="7" xfId="0" applyNumberFormat="1" applyFont="1" applyFill="1" applyBorder="1" applyAlignment="1">
      <alignment horizontal="left"/>
    </xf>
    <xf numFmtId="0" fontId="23" fillId="5" borderId="5" xfId="0" applyFont="1" applyFill="1" applyBorder="1" applyAlignment="1">
      <alignment horizontal="left"/>
    </xf>
    <xf numFmtId="0" fontId="23" fillId="5" borderId="7" xfId="0" applyFont="1" applyFill="1" applyBorder="1" applyAlignment="1">
      <alignment horizontal="left"/>
    </xf>
    <xf numFmtId="0" fontId="23" fillId="8" borderId="5" xfId="0" applyFont="1" applyFill="1" applyBorder="1" applyAlignment="1">
      <alignment horizontal="left" wrapText="1"/>
    </xf>
    <xf numFmtId="0" fontId="23" fillId="8" borderId="6" xfId="0" applyFont="1" applyFill="1" applyBorder="1" applyAlignment="1">
      <alignment horizontal="left" wrapText="1"/>
    </xf>
    <xf numFmtId="0" fontId="23" fillId="8" borderId="7" xfId="0" applyFont="1" applyFill="1" applyBorder="1" applyAlignment="1">
      <alignment horizontal="left" wrapText="1"/>
    </xf>
    <xf numFmtId="0" fontId="14" fillId="9" borderId="5" xfId="0" applyFont="1" applyFill="1" applyBorder="1" applyAlignment="1">
      <alignment horizontal="center"/>
    </xf>
    <xf numFmtId="0" fontId="14" fillId="9" borderId="6" xfId="0" applyFont="1" applyFill="1" applyBorder="1" applyAlignment="1">
      <alignment horizontal="center"/>
    </xf>
    <xf numFmtId="0" fontId="14" fillId="9" borderId="7" xfId="0" applyFont="1" applyFill="1" applyBorder="1" applyAlignment="1">
      <alignment horizontal="center"/>
    </xf>
    <xf numFmtId="0" fontId="14" fillId="5" borderId="5" xfId="0" applyFont="1" applyFill="1" applyBorder="1" applyAlignment="1">
      <alignment horizontal="left"/>
    </xf>
    <xf numFmtId="0" fontId="14" fillId="5" borderId="6" xfId="0" applyFont="1" applyFill="1" applyBorder="1" applyAlignment="1">
      <alignment horizontal="left"/>
    </xf>
    <xf numFmtId="0" fontId="14" fillId="5" borderId="7" xfId="0" applyFont="1" applyFill="1" applyBorder="1" applyAlignment="1">
      <alignment horizontal="left"/>
    </xf>
    <xf numFmtId="0" fontId="23" fillId="6" borderId="6" xfId="0" applyFont="1" applyFill="1" applyBorder="1" applyAlignment="1">
      <alignment horizontal="center"/>
    </xf>
    <xf numFmtId="0" fontId="23" fillId="6" borderId="7" xfId="0" applyFont="1" applyFill="1" applyBorder="1" applyAlignment="1">
      <alignment horizontal="center"/>
    </xf>
    <xf numFmtId="0" fontId="23" fillId="6" borderId="5" xfId="0" applyFont="1" applyFill="1" applyBorder="1" applyAlignment="1">
      <alignment horizontal="center"/>
    </xf>
    <xf numFmtId="0" fontId="14" fillId="6" borderId="5" xfId="0" applyFont="1" applyFill="1" applyBorder="1" applyAlignment="1">
      <alignment horizontal="center"/>
    </xf>
    <xf numFmtId="0" fontId="14" fillId="6" borderId="6" xfId="0" applyFont="1" applyFill="1" applyBorder="1" applyAlignment="1">
      <alignment horizontal="center"/>
    </xf>
    <xf numFmtId="0" fontId="14" fillId="6" borderId="7" xfId="0" applyFont="1" applyFill="1" applyBorder="1" applyAlignment="1">
      <alignment horizontal="center"/>
    </xf>
    <xf numFmtId="0" fontId="23" fillId="6" borderId="5" xfId="0" applyFont="1" applyFill="1" applyBorder="1" applyAlignment="1">
      <alignment wrapText="1"/>
    </xf>
    <xf numFmtId="0" fontId="23" fillId="6" borderId="6" xfId="0" applyFont="1" applyFill="1" applyBorder="1" applyAlignment="1">
      <alignment wrapText="1"/>
    </xf>
    <xf numFmtId="0" fontId="23" fillId="6" borderId="7" xfId="0" applyFont="1" applyFill="1" applyBorder="1" applyAlignment="1">
      <alignment wrapText="1"/>
    </xf>
    <xf numFmtId="0" fontId="23" fillId="8" borderId="5" xfId="0" applyFont="1" applyFill="1" applyBorder="1" applyAlignment="1">
      <alignment horizontal="center"/>
    </xf>
    <xf numFmtId="0" fontId="23" fillId="8" borderId="6" xfId="0" applyFont="1" applyFill="1" applyBorder="1" applyAlignment="1">
      <alignment horizontal="center"/>
    </xf>
    <xf numFmtId="0" fontId="23" fillId="8" borderId="7" xfId="0" applyFont="1" applyFill="1" applyBorder="1" applyAlignment="1">
      <alignment horizontal="center"/>
    </xf>
    <xf numFmtId="0" fontId="89" fillId="11" borderId="0" xfId="0" quotePrefix="1" applyFont="1" applyFill="1" applyAlignment="1">
      <alignment horizontal="center" wrapText="1"/>
    </xf>
    <xf numFmtId="0" fontId="14" fillId="5" borderId="5" xfId="0" applyFont="1" applyFill="1" applyBorder="1" applyAlignment="1">
      <alignment horizontal="center"/>
    </xf>
    <xf numFmtId="0" fontId="14" fillId="5" borderId="6" xfId="0" applyFont="1" applyFill="1" applyBorder="1" applyAlignment="1">
      <alignment horizontal="center"/>
    </xf>
    <xf numFmtId="0" fontId="14" fillId="5" borderId="7" xfId="0" applyFont="1" applyFill="1" applyBorder="1" applyAlignment="1">
      <alignment horizontal="center"/>
    </xf>
    <xf numFmtId="0" fontId="14" fillId="5" borderId="6" xfId="0" applyFont="1" applyFill="1" applyBorder="1"/>
    <xf numFmtId="0" fontId="14" fillId="5" borderId="7" xfId="0" applyFont="1" applyFill="1" applyBorder="1"/>
    <xf numFmtId="0" fontId="4" fillId="17" borderId="8" xfId="0" applyFont="1" applyFill="1" applyBorder="1" applyAlignment="1">
      <alignment horizontal="center" vertical="center" textRotation="90"/>
    </xf>
    <xf numFmtId="0" fontId="4" fillId="17" borderId="11" xfId="0" applyFont="1" applyFill="1" applyBorder="1" applyAlignment="1">
      <alignment horizontal="center" vertical="center" textRotation="90"/>
    </xf>
    <xf numFmtId="0" fontId="4" fillId="15" borderId="16" xfId="0" applyFont="1" applyFill="1" applyBorder="1" applyAlignment="1">
      <alignment horizontal="center" vertical="center" textRotation="90"/>
    </xf>
    <xf numFmtId="0" fontId="4" fillId="16" borderId="8" xfId="0" applyFont="1" applyFill="1" applyBorder="1" applyAlignment="1">
      <alignment horizontal="center" vertical="center" textRotation="90"/>
    </xf>
    <xf numFmtId="0" fontId="4" fillId="16" borderId="11" xfId="0" applyFont="1" applyFill="1" applyBorder="1" applyAlignment="1">
      <alignment horizontal="center" vertical="center" textRotation="90"/>
    </xf>
    <xf numFmtId="0" fontId="4" fillId="16" borderId="13" xfId="0" applyFont="1" applyFill="1" applyBorder="1" applyAlignment="1">
      <alignment horizontal="center" vertical="center" textRotation="90"/>
    </xf>
    <xf numFmtId="49" fontId="14" fillId="5" borderId="5" xfId="0" applyNumberFormat="1" applyFont="1" applyFill="1" applyBorder="1" applyAlignment="1">
      <alignment horizontal="left" wrapText="1"/>
    </xf>
    <xf numFmtId="49" fontId="14" fillId="5" borderId="6" xfId="0" applyNumberFormat="1" applyFont="1" applyFill="1" applyBorder="1" applyAlignment="1">
      <alignment horizontal="left" wrapText="1"/>
    </xf>
    <xf numFmtId="49" fontId="14" fillId="5" borderId="7" xfId="0" applyNumberFormat="1" applyFont="1" applyFill="1" applyBorder="1" applyAlignment="1">
      <alignment horizontal="left" wrapText="1"/>
    </xf>
    <xf numFmtId="49" fontId="14" fillId="5" borderId="5" xfId="0" applyNumberFormat="1" applyFont="1" applyFill="1" applyBorder="1" applyAlignment="1">
      <alignment horizontal="center"/>
    </xf>
    <xf numFmtId="49" fontId="14" fillId="5" borderId="6" xfId="0" applyNumberFormat="1" applyFont="1" applyFill="1" applyBorder="1" applyAlignment="1">
      <alignment horizontal="center"/>
    </xf>
    <xf numFmtId="49" fontId="14" fillId="5" borderId="7" xfId="0" applyNumberFormat="1" applyFont="1" applyFill="1" applyBorder="1" applyAlignment="1">
      <alignment horizontal="center"/>
    </xf>
    <xf numFmtId="0" fontId="90" fillId="11" borderId="1" xfId="0" quotePrefix="1" applyFont="1" applyFill="1" applyBorder="1" applyAlignment="1">
      <alignment horizontal="left" wrapText="1"/>
    </xf>
    <xf numFmtId="0" fontId="89" fillId="11" borderId="9" xfId="0" quotePrefix="1" applyFont="1" applyFill="1" applyBorder="1" applyAlignment="1">
      <alignment horizontal="left" wrapText="1"/>
    </xf>
    <xf numFmtId="0" fontId="89" fillId="11" borderId="0" xfId="0" quotePrefix="1" applyFont="1" applyFill="1" applyAlignment="1">
      <alignment horizontal="left" wrapText="1"/>
    </xf>
    <xf numFmtId="0" fontId="89" fillId="11" borderId="1" xfId="0" quotePrefix="1" applyFont="1" applyFill="1" applyBorder="1" applyAlignment="1">
      <alignment horizontal="left" wrapText="1"/>
    </xf>
  </cellXfs>
  <cellStyles count="5">
    <cellStyle name="Link" xfId="1" builtinId="8"/>
    <cellStyle name="Prozent" xfId="2" builtinId="5"/>
    <cellStyle name="Standard" xfId="0" builtinId="0"/>
    <cellStyle name="Währung" xfId="3" builtinId="4"/>
    <cellStyle name="Währung 2" xfId="4" xr:uid="{7B8F4023-F39A-41DA-AA90-5C3CCB85F328}"/>
  </cellStyles>
  <dxfs count="1149">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color theme="0" tint="-0.34998626667073579"/>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color theme="1"/>
      </font>
      <fill>
        <patternFill>
          <bgColor theme="0" tint="-0.14996795556505021"/>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1"/>
      </font>
      <fill>
        <patternFill>
          <bgColor theme="0" tint="-0.14996795556505021"/>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font>
      <fill>
        <patternFill>
          <bgColor theme="0" tint="-0.34998626667073579"/>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ill>
        <patternFill>
          <bgColor rgb="FFF0F0F0"/>
        </patternFill>
      </fill>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strike val="0"/>
        <color theme="0" tint="-0.34998626667073579"/>
      </font>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strike val="0"/>
        <color theme="0" tint="-0.34998626667073579"/>
      </font>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strike val="0"/>
        <color theme="0" tint="-0.34998626667073579"/>
      </font>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strike val="0"/>
        <color theme="0" tint="-0.34998626667073579"/>
      </font>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ill>
        <patternFill>
          <bgColor rgb="FFF0F0F0"/>
        </patternFill>
      </fill>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color theme="0" tint="-0.34998626667073579"/>
      </font>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color theme="1"/>
      </font>
      <fill>
        <patternFill>
          <bgColor theme="0" tint="-0.14996795556505021"/>
        </patternFill>
      </fill>
      <border>
        <left style="thin">
          <color theme="0" tint="-0.34998626667073579"/>
        </left>
        <right style="thin">
          <color theme="0" tint="-0.34998626667073579"/>
        </right>
        <top style="thin">
          <color theme="0" tint="-0.34998626667073579"/>
        </top>
        <bottom style="thin">
          <color theme="0" tint="-0.34998626667073579"/>
        </bottom>
      </border>
    </dxf>
    <dxf>
      <font>
        <color theme="0"/>
      </font>
      <fill>
        <patternFill>
          <bgColor theme="0" tint="-0.34998626667073579"/>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rgb="FFF6F6F6"/>
        </patternFill>
      </fill>
      <border>
        <left/>
        <right/>
        <top/>
        <bottom/>
        <vertical/>
        <horizontal/>
      </border>
    </dxf>
    <dxf>
      <font>
        <strike val="0"/>
        <color theme="0" tint="-0.499984740745262"/>
      </font>
      <fill>
        <patternFill>
          <bgColor theme="0"/>
        </patternFill>
      </fill>
      <border>
        <left/>
        <right/>
        <top/>
        <bottom/>
        <vertical/>
        <horizontal/>
      </border>
    </dxf>
    <dxf>
      <font>
        <strike val="0"/>
        <color theme="0" tint="-0.499984740745262"/>
      </font>
      <fill>
        <patternFill>
          <bgColor rgb="FFF6F6F6"/>
        </patternFill>
      </fill>
      <border>
        <left/>
        <right/>
        <top/>
        <bottom/>
        <vertical/>
        <horizontal/>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rgb="FFF2F2F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val="0"/>
        <i val="0"/>
        <strike val="0"/>
        <color theme="0" tint="-0.499984740745262"/>
      </font>
      <fill>
        <patternFill>
          <bgColor theme="0" tint="-4.9989318521683403E-2"/>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0F0F0"/>
        </patternFill>
      </fill>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ont>
        <b/>
        <i val="0"/>
        <strike/>
        <color theme="9" tint="-0.24994659260841701"/>
      </font>
    </dxf>
    <dxf>
      <font>
        <color theme="9" tint="-0.24994659260841701"/>
      </font>
    </dxf>
    <dxf>
      <font>
        <color rgb="FFFF0000"/>
      </font>
    </dxf>
    <dxf>
      <font>
        <b/>
        <i val="0"/>
        <color rgb="FFFF0000"/>
      </font>
      <border>
        <left style="thin">
          <color rgb="FFFF0000"/>
        </left>
        <right style="thin">
          <color rgb="FFFF0000"/>
        </right>
        <top style="thin">
          <color rgb="FFFF0000"/>
        </top>
        <bottom style="thin">
          <color rgb="FFFF0000"/>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E6E6"/>
        </patternFill>
      </fill>
    </dxf>
    <dxf>
      <fill>
        <patternFill>
          <bgColor rgb="FFFFE6E6"/>
        </patternFill>
      </fill>
    </dxf>
    <dxf>
      <fill>
        <patternFill>
          <bgColor rgb="FFFFE6E6"/>
        </patternFill>
      </fill>
    </dxf>
    <dxf>
      <fill>
        <patternFill>
          <bgColor rgb="FF993366"/>
        </patternFill>
      </fill>
    </dxf>
    <dxf>
      <fill>
        <patternFill>
          <bgColor rgb="FFFFC000"/>
        </patternFill>
      </fill>
    </dxf>
    <dxf>
      <fill>
        <patternFill>
          <bgColor rgb="FFFFC000"/>
        </patternFill>
      </fill>
    </dxf>
    <dxf>
      <fill>
        <patternFill>
          <bgColor rgb="FF993366"/>
        </patternFill>
      </fill>
    </dxf>
    <dxf>
      <fill>
        <patternFill>
          <bgColor rgb="FFFFC000"/>
        </patternFill>
      </fill>
    </dxf>
    <dxf>
      <fill>
        <patternFill>
          <bgColor rgb="FF993366"/>
        </patternFill>
      </fill>
    </dxf>
    <dxf>
      <fill>
        <patternFill>
          <bgColor rgb="FFFFE6E6"/>
        </patternFill>
      </fill>
    </dxf>
    <dxf>
      <fill>
        <patternFill>
          <bgColor rgb="FFFFE6E6"/>
        </patternFill>
      </fill>
    </dxf>
  </dxfs>
  <tableStyles count="0" defaultTableStyle="TableStyleMedium2" defaultPivotStyle="PivotStyleLight16"/>
  <colors>
    <mruColors>
      <color rgb="FFB3DEEF"/>
      <color rgb="FF76B729"/>
      <color rgb="FFD1E3B0"/>
      <color rgb="FFE30613"/>
      <color rgb="FF5DC4E1"/>
      <color rgb="FFFFD1D1"/>
      <color rgb="FFF6F6F6"/>
      <color rgb="FFDDDDDD"/>
      <color rgb="FF000000"/>
      <color rgb="FFF7CE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6" Type="http://schemas.microsoft.com/office/2006/relationships/vbaProject" Target="vbaProject.bin"/><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image" Target="../media/image9.png"/><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image" Target="../media/image34.png"/><Relationship Id="rId2" Type="http://schemas.microsoft.com/office/2011/relationships/chartColorStyle" Target="colors7.xml"/><Relationship Id="rId1" Type="http://schemas.microsoft.com/office/2011/relationships/chartStyle" Target="style7.xml"/><Relationship Id="rId4" Type="http://schemas.openxmlformats.org/officeDocument/2006/relationships/chartUserShapes" Target="../drawings/drawing6.xml"/></Relationships>
</file>

<file path=xl/charts/_rels/chart8.xml.rels><?xml version="1.0" encoding="UTF-8" standalone="yes"?>
<Relationships xmlns="http://schemas.openxmlformats.org/package/2006/relationships"><Relationship Id="rId3" Type="http://schemas.openxmlformats.org/officeDocument/2006/relationships/image" Target="../media/image35.png"/><Relationship Id="rId2" Type="http://schemas.microsoft.com/office/2011/relationships/chartColorStyle" Target="colors8.xml"/><Relationship Id="rId1" Type="http://schemas.microsoft.com/office/2011/relationships/chartStyle" Target="style8.xml"/><Relationship Id="rId4" Type="http://schemas.openxmlformats.org/officeDocument/2006/relationships/chartUserShapes" Target="../drawings/drawing7.xml"/></Relationships>
</file>

<file path=xl/charts/_rels/chart9.xml.rels><?xml version="1.0" encoding="UTF-8" standalone="yes"?>
<Relationships xmlns="http://schemas.openxmlformats.org/package/2006/relationships"><Relationship Id="rId3" Type="http://schemas.openxmlformats.org/officeDocument/2006/relationships/image" Target="../media/image36.png"/><Relationship Id="rId2" Type="http://schemas.microsoft.com/office/2011/relationships/chartColorStyle" Target="colors9.xml"/><Relationship Id="rId1" Type="http://schemas.microsoft.com/office/2011/relationships/chartStyle" Target="style9.xml"/><Relationship Id="rId4" Type="http://schemas.openxmlformats.org/officeDocument/2006/relationships/chartUserShapes" Target="../drawings/drawing8.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image" Target="../media/image37.png"/><Relationship Id="rId2" Type="http://schemas.microsoft.com/office/2011/relationships/chartColorStyle" Target="colors30.xml"/><Relationship Id="rId1" Type="http://schemas.microsoft.com/office/2011/relationships/chartStyle" Target="style30.xml"/><Relationship Id="rId4" Type="http://schemas.openxmlformats.org/officeDocument/2006/relationships/chartUserShapes" Target="../drawings/drawing9.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image" Target="../media/image34.png"/><Relationship Id="rId2" Type="http://schemas.microsoft.com/office/2011/relationships/chartColorStyle" Target="colors39.xml"/><Relationship Id="rId1" Type="http://schemas.microsoft.com/office/2011/relationships/chartStyle" Target="style39.xml"/><Relationship Id="rId4" Type="http://schemas.openxmlformats.org/officeDocument/2006/relationships/chartUserShapes" Target="../drawings/drawing10.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image" Target="../media/image35.png"/><Relationship Id="rId2" Type="http://schemas.microsoft.com/office/2011/relationships/chartColorStyle" Target="colors53.xml"/><Relationship Id="rId1" Type="http://schemas.microsoft.com/office/2011/relationships/chartStyle" Target="style53.xml"/><Relationship Id="rId4" Type="http://schemas.openxmlformats.org/officeDocument/2006/relationships/chartUserShapes" Target="../drawings/drawing11.xml"/></Relationships>
</file>

<file path=xl/charts/_rels/chart54.xml.rels><?xml version="1.0" encoding="UTF-8" standalone="yes"?>
<Relationships xmlns="http://schemas.openxmlformats.org/package/2006/relationships"><Relationship Id="rId3" Type="http://schemas.openxmlformats.org/officeDocument/2006/relationships/themeOverride" Target="../theme/themeOverride34.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themeOverride" Target="../theme/themeOverride35.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themeOverride" Target="../theme/themeOverride36.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themeOverride" Target="../theme/themeOverride37.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themeOverride" Target="../theme/themeOverride38.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themeOverride" Target="../theme/themeOverride39.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themeOverride" Target="../theme/themeOverride40.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themeOverride" Target="../theme/themeOverride41.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themeOverride" Target="../theme/themeOverride42.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themeOverride" Target="../theme/themeOverride43.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themeOverride" Target="../theme/themeOverride44.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themeOverride" Target="../theme/themeOverride45.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themeOverride" Target="../theme/themeOverride46.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themeOverride" Target="../theme/themeOverride47.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image" Target="../media/image36.png"/><Relationship Id="rId2" Type="http://schemas.microsoft.com/office/2011/relationships/chartColorStyle" Target="colors68.xml"/><Relationship Id="rId1" Type="http://schemas.microsoft.com/office/2011/relationships/chartStyle" Target="style68.xml"/><Relationship Id="rId4" Type="http://schemas.openxmlformats.org/officeDocument/2006/relationships/chartUserShapes" Target="../drawings/drawing12.xml"/></Relationships>
</file>

<file path=xl/charts/_rels/chart69.xml.rels><?xml version="1.0" encoding="UTF-8" standalone="yes"?>
<Relationships xmlns="http://schemas.openxmlformats.org/package/2006/relationships"><Relationship Id="rId3" Type="http://schemas.openxmlformats.org/officeDocument/2006/relationships/image" Target="../media/image37.png"/><Relationship Id="rId2" Type="http://schemas.microsoft.com/office/2011/relationships/chartColorStyle" Target="colors69.xml"/><Relationship Id="rId1" Type="http://schemas.microsoft.com/office/2011/relationships/chartStyle" Target="style69.xml"/><Relationship Id="rId4" Type="http://schemas.openxmlformats.org/officeDocument/2006/relationships/chartUserShapes" Target="../drawings/drawing13.xml"/></Relationships>
</file>

<file path=xl/charts/_rels/chart70.xml.rels><?xml version="1.0" encoding="UTF-8" standalone="yes"?>
<Relationships xmlns="http://schemas.openxmlformats.org/package/2006/relationships"><Relationship Id="rId3" Type="http://schemas.openxmlformats.org/officeDocument/2006/relationships/themeOverride" Target="../theme/themeOverride48.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themeOverride" Target="../theme/themeOverride49.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themeOverride" Target="../theme/themeOverride50.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themeOverride" Target="../theme/themeOverride51.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themeOverride" Target="../theme/themeOverride52.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53.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54.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themeOverride" Target="../theme/themeOverride55.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themeOverride" Target="../theme/themeOverride56.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themeOverride" Target="../theme/themeOverride57.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themeOverride" Target="../theme/themeOverride58.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themeOverride" Target="../theme/themeOverride59.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themeOverride" Target="../theme/themeOverride60.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themeOverride" Target="../theme/themeOverride61.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themeOverride" Target="../theme/themeOverride62.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themeOverride" Target="../theme/themeOverride63.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themeOverride" Target="../theme/themeOverride64.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themeOverride" Target="../theme/themeOverride65.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themeOverride" Target="../theme/themeOverride66.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themeOverride" Target="../theme/themeOverride67.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themeOverride" Target="../theme/themeOverride68.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themeOverride" Target="../theme/themeOverride69.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themeOverride" Target="../theme/themeOverride70.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themeOverride" Target="../theme/themeOverride71.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themeOverride" Target="../theme/themeOverride72.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themeOverride" Target="../theme/themeOverride73.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a:noFill/>
            </a:ln>
            <a:effectLst/>
          </c:spPr>
          <c:dLbls>
            <c:delete val="1"/>
          </c:dLbls>
          <c:cat>
            <c:strRef>
              <c:f>Text!$L$394</c:f>
              <c:strCache>
                <c:ptCount val="1"/>
                <c:pt idx="0">
                  <c:v>100 %                </c:v>
                </c:pt>
              </c:strCache>
            </c:strRef>
          </c:cat>
          <c:val>
            <c:numRef>
              <c:f>(Text!$L$427:$L$430,Text!$L$431:$L$433,Text!$L$434:$L$437)</c:f>
              <c:numCache>
                <c:formatCode>General</c:formatCode>
                <c:ptCount val="11"/>
                <c:pt idx="0">
                  <c:v>0.65</c:v>
                </c:pt>
                <c:pt idx="1">
                  <c:v>0.65500000000000003</c:v>
                </c:pt>
                <c:pt idx="2">
                  <c:v>0.95</c:v>
                </c:pt>
                <c:pt idx="3">
                  <c:v>0.55000000000000004</c:v>
                </c:pt>
                <c:pt idx="4">
                  <c:v>0.5</c:v>
                </c:pt>
                <c:pt idx="5">
                  <c:v>0.65</c:v>
                </c:pt>
                <c:pt idx="6">
                  <c:v>0.3</c:v>
                </c:pt>
                <c:pt idx="7">
                  <c:v>0.8</c:v>
                </c:pt>
                <c:pt idx="8">
                  <c:v>0.9</c:v>
                </c:pt>
                <c:pt idx="9">
                  <c:v>0.9</c:v>
                </c:pt>
                <c:pt idx="10">
                  <c:v>1</c:v>
                </c:pt>
              </c:numCache>
            </c:numRef>
          </c:val>
          <c:extLst>
            <c:ext xmlns:c16="http://schemas.microsoft.com/office/drawing/2014/chart" uri="{C3380CC4-5D6E-409C-BE32-E72D297353CC}">
              <c16:uniqueId val="{00000000-1FA8-4812-A03E-4DA1D27A2B9F}"/>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80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l="500" t="3000"/>
      </a:stretch>
    </a:blipFill>
    <a:ln w="9525" cap="flat" cmpd="sng" algn="ctr">
      <a:noFill/>
      <a:round/>
    </a:ln>
    <a:effectLst/>
  </c:spPr>
  <c:txPr>
    <a:bodyPr/>
    <a:lstStyle/>
    <a:p>
      <a:pPr>
        <a:defRPr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29CA4"/>
            </a:solidFill>
            <a:ln>
              <a:solidFill>
                <a:srgbClr val="E30613"/>
              </a:solidFill>
            </a:ln>
            <a:effectLst/>
          </c:spPr>
          <c:invertIfNegative val="0"/>
          <c:val>
            <c:numRef>
              <c:f>Text!$K$419</c:f>
              <c:numCache>
                <c:formatCode>General</c:formatCode>
                <c:ptCount val="1"/>
                <c:pt idx="0">
                  <c:v>0.5</c:v>
                </c:pt>
              </c:numCache>
            </c:numRef>
          </c:val>
          <c:extLst>
            <c:ext xmlns:c16="http://schemas.microsoft.com/office/drawing/2014/chart" uri="{C3380CC4-5D6E-409C-BE32-E72D297353CC}">
              <c16:uniqueId val="{00000000-7488-4096-BAAB-223FC9B5FBE1}"/>
            </c:ext>
          </c:extLst>
        </c:ser>
        <c:ser>
          <c:idx val="1"/>
          <c:order val="1"/>
          <c:spPr>
            <a:solidFill>
              <a:srgbClr val="F29CA4"/>
            </a:solidFill>
            <a:ln>
              <a:solidFill>
                <a:srgbClr val="E30613"/>
              </a:solidFill>
            </a:ln>
            <a:effectLst/>
          </c:spPr>
          <c:invertIfNegative val="0"/>
          <c:val>
            <c:numRef>
              <c:f>Text!$K$420</c:f>
              <c:numCache>
                <c:formatCode>General</c:formatCode>
                <c:ptCount val="1"/>
                <c:pt idx="0">
                  <c:v>0.15</c:v>
                </c:pt>
              </c:numCache>
            </c:numRef>
          </c:val>
          <c:extLst>
            <c:ext xmlns:c16="http://schemas.microsoft.com/office/drawing/2014/chart" uri="{C3380CC4-5D6E-409C-BE32-E72D297353CC}">
              <c16:uniqueId val="{00000001-7488-4096-BAAB-223FC9B5FBE1}"/>
            </c:ext>
          </c:extLst>
        </c:ser>
        <c:ser>
          <c:idx val="2"/>
          <c:order val="2"/>
          <c:spPr>
            <a:solidFill>
              <a:srgbClr val="F29CA4"/>
            </a:solidFill>
            <a:ln>
              <a:solidFill>
                <a:srgbClr val="E30613"/>
              </a:solidFill>
            </a:ln>
            <a:effectLst/>
          </c:spPr>
          <c:invertIfNegative val="0"/>
          <c:val>
            <c:numRef>
              <c:f>Text!$K$421</c:f>
              <c:numCache>
                <c:formatCode>General</c:formatCode>
                <c:ptCount val="1"/>
                <c:pt idx="0">
                  <c:v>7.999999999999996E-2</c:v>
                </c:pt>
              </c:numCache>
            </c:numRef>
          </c:val>
          <c:extLst>
            <c:ext xmlns:c16="http://schemas.microsoft.com/office/drawing/2014/chart" uri="{C3380CC4-5D6E-409C-BE32-E72D297353CC}">
              <c16:uniqueId val="{00000002-7488-4096-BAAB-223FC9B5FBE1}"/>
            </c:ext>
          </c:extLst>
        </c:ser>
        <c:ser>
          <c:idx val="3"/>
          <c:order val="3"/>
          <c:spPr>
            <a:solidFill>
              <a:schemeClr val="accent4"/>
            </a:solidFill>
            <a:ln>
              <a:noFill/>
            </a:ln>
            <a:effectLst/>
          </c:spPr>
          <c:invertIfNegative val="0"/>
          <c:val>
            <c:numRef>
              <c:f>Text!$K$422</c:f>
              <c:numCache>
                <c:formatCode>General</c:formatCode>
                <c:ptCount val="1"/>
                <c:pt idx="0">
                  <c:v>0</c:v>
                </c:pt>
              </c:numCache>
            </c:numRef>
          </c:val>
          <c:extLst>
            <c:ext xmlns:c16="http://schemas.microsoft.com/office/drawing/2014/chart" uri="{C3380CC4-5D6E-409C-BE32-E72D297353CC}">
              <c16:uniqueId val="{00000003-7488-4096-BAAB-223FC9B5FBE1}"/>
            </c:ext>
          </c:extLst>
        </c:ser>
        <c:ser>
          <c:idx val="4"/>
          <c:order val="4"/>
          <c:spPr>
            <a:solidFill>
              <a:schemeClr val="bg1"/>
            </a:solidFill>
            <a:ln>
              <a:solidFill>
                <a:srgbClr val="E30613"/>
              </a:solidFill>
            </a:ln>
            <a:effectLst/>
          </c:spPr>
          <c:invertIfNegative val="0"/>
          <c:val>
            <c:numRef>
              <c:f>Text!$K$423</c:f>
              <c:numCache>
                <c:formatCode>General</c:formatCode>
                <c:ptCount val="1"/>
                <c:pt idx="0">
                  <c:v>0.12000000000000005</c:v>
                </c:pt>
              </c:numCache>
            </c:numRef>
          </c:val>
          <c:extLst>
            <c:ext xmlns:c16="http://schemas.microsoft.com/office/drawing/2014/chart" uri="{C3380CC4-5D6E-409C-BE32-E72D297353CC}">
              <c16:uniqueId val="{00000004-7488-4096-BAAB-223FC9B5FBE1}"/>
            </c:ext>
          </c:extLst>
        </c:ser>
        <c:ser>
          <c:idx val="5"/>
          <c:order val="5"/>
          <c:spPr>
            <a:solidFill>
              <a:schemeClr val="accent6"/>
            </a:solidFill>
            <a:ln>
              <a:noFill/>
            </a:ln>
            <a:effectLst/>
          </c:spPr>
          <c:invertIfNegative val="0"/>
          <c:val>
            <c:numRef>
              <c:f>Text!$K$424</c:f>
              <c:numCache>
                <c:formatCode>General</c:formatCode>
                <c:ptCount val="1"/>
                <c:pt idx="0">
                  <c:v>0</c:v>
                </c:pt>
              </c:numCache>
            </c:numRef>
          </c:val>
          <c:extLst>
            <c:ext xmlns:c16="http://schemas.microsoft.com/office/drawing/2014/chart" uri="{C3380CC4-5D6E-409C-BE32-E72D297353CC}">
              <c16:uniqueId val="{00000005-7488-4096-BAAB-223FC9B5FBE1}"/>
            </c:ext>
          </c:extLst>
        </c:ser>
        <c:ser>
          <c:idx val="6"/>
          <c:order val="6"/>
          <c:spPr>
            <a:solidFill>
              <a:schemeClr val="accent1">
                <a:lumMod val="60000"/>
              </a:schemeClr>
            </a:solidFill>
            <a:ln>
              <a:noFill/>
            </a:ln>
            <a:effectLst/>
          </c:spPr>
          <c:invertIfNegative val="0"/>
          <c:val>
            <c:numRef>
              <c:f>Text!$K$425</c:f>
              <c:numCache>
                <c:formatCode>General</c:formatCode>
                <c:ptCount val="1"/>
                <c:pt idx="0">
                  <c:v>0</c:v>
                </c:pt>
              </c:numCache>
            </c:numRef>
          </c:val>
          <c:extLst>
            <c:ext xmlns:c16="http://schemas.microsoft.com/office/drawing/2014/chart" uri="{C3380CC4-5D6E-409C-BE32-E72D297353CC}">
              <c16:uniqueId val="{00000006-7488-4096-BAAB-223FC9B5FBE1}"/>
            </c:ext>
          </c:extLst>
        </c:ser>
        <c:ser>
          <c:idx val="7"/>
          <c:order val="7"/>
          <c:spPr>
            <a:solidFill>
              <a:schemeClr val="accent2">
                <a:lumMod val="60000"/>
              </a:schemeClr>
            </a:solidFill>
            <a:ln>
              <a:noFill/>
            </a:ln>
            <a:effectLst/>
          </c:spPr>
          <c:invertIfNegative val="0"/>
          <c:dPt>
            <c:idx val="0"/>
            <c:invertIfNegative val="0"/>
            <c:bubble3D val="0"/>
            <c:spPr>
              <a:solidFill>
                <a:schemeClr val="bg1"/>
              </a:solidFill>
              <a:ln>
                <a:solidFill>
                  <a:srgbClr val="E30613"/>
                </a:solidFill>
              </a:ln>
              <a:effectLst/>
            </c:spPr>
            <c:extLst>
              <c:ext xmlns:c16="http://schemas.microsoft.com/office/drawing/2014/chart" uri="{C3380CC4-5D6E-409C-BE32-E72D297353CC}">
                <c16:uniqueId val="{00000008-7488-4096-BAAB-223FC9B5FBE1}"/>
              </c:ext>
            </c:extLst>
          </c:dPt>
          <c:val>
            <c:numRef>
              <c:f>Text!$K$426</c:f>
              <c:numCache>
                <c:formatCode>General</c:formatCode>
                <c:ptCount val="1"/>
                <c:pt idx="0">
                  <c:v>0.15</c:v>
                </c:pt>
              </c:numCache>
            </c:numRef>
          </c:val>
          <c:extLst>
            <c:ext xmlns:c16="http://schemas.microsoft.com/office/drawing/2014/chart" uri="{C3380CC4-5D6E-409C-BE32-E72D297353CC}">
              <c16:uniqueId val="{00000009-7488-4096-BAAB-223FC9B5FBE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FD1D1"/>
            </a:solidFill>
            <a:ln>
              <a:solidFill>
                <a:srgbClr val="E30613"/>
              </a:solidFill>
            </a:ln>
            <a:effectLst/>
          </c:spPr>
          <c:invertIfNegative val="0"/>
          <c:val>
            <c:numRef>
              <c:f>Text!$K$410:$L$410</c:f>
              <c:numCache>
                <c:formatCode>General</c:formatCode>
                <c:ptCount val="2"/>
                <c:pt idx="0">
                  <c:v>0.5</c:v>
                </c:pt>
                <c:pt idx="1">
                  <c:v>0.5</c:v>
                </c:pt>
              </c:numCache>
            </c:numRef>
          </c:val>
          <c:extLst>
            <c:ext xmlns:c16="http://schemas.microsoft.com/office/drawing/2014/chart" uri="{C3380CC4-5D6E-409C-BE32-E72D297353CC}">
              <c16:uniqueId val="{00000000-A6B5-426C-B43B-1F7E0C9FAF53}"/>
            </c:ext>
          </c:extLst>
        </c:ser>
        <c:ser>
          <c:idx val="1"/>
          <c:order val="1"/>
          <c:spPr>
            <a:solidFill>
              <a:srgbClr val="FFD1D1"/>
            </a:solidFill>
            <a:ln>
              <a:solidFill>
                <a:srgbClr val="E30613"/>
              </a:solidFill>
            </a:ln>
            <a:effectLst/>
          </c:spPr>
          <c:invertIfNegative val="0"/>
          <c:val>
            <c:numRef>
              <c:f>Text!$K$411:$L$411</c:f>
              <c:numCache>
                <c:formatCode>General</c:formatCode>
                <c:ptCount val="2"/>
                <c:pt idx="0">
                  <c:v>0.15</c:v>
                </c:pt>
                <c:pt idx="1">
                  <c:v>0.15</c:v>
                </c:pt>
              </c:numCache>
            </c:numRef>
          </c:val>
          <c:extLst>
            <c:ext xmlns:c16="http://schemas.microsoft.com/office/drawing/2014/chart" uri="{C3380CC4-5D6E-409C-BE32-E72D297353CC}">
              <c16:uniqueId val="{00000001-A6B5-426C-B43B-1F7E0C9FAF53}"/>
            </c:ext>
          </c:extLst>
        </c:ser>
        <c:ser>
          <c:idx val="2"/>
          <c:order val="2"/>
          <c:spPr>
            <a:solidFill>
              <a:srgbClr val="FFD1D1"/>
            </a:solidFill>
            <a:ln>
              <a:solidFill>
                <a:srgbClr val="E30613"/>
              </a:solidFill>
            </a:ln>
            <a:effectLst/>
          </c:spPr>
          <c:invertIfNegative val="0"/>
          <c:val>
            <c:numRef>
              <c:f>Text!$K$412:$L$412</c:f>
              <c:numCache>
                <c:formatCode>General</c:formatCode>
                <c:ptCount val="2"/>
                <c:pt idx="0">
                  <c:v>0.2</c:v>
                </c:pt>
                <c:pt idx="1">
                  <c:v>1.0000000000000009E-2</c:v>
                </c:pt>
              </c:numCache>
            </c:numRef>
          </c:val>
          <c:extLst>
            <c:ext xmlns:c16="http://schemas.microsoft.com/office/drawing/2014/chart" uri="{C3380CC4-5D6E-409C-BE32-E72D297353CC}">
              <c16:uniqueId val="{00000002-A6B5-426C-B43B-1F7E0C9FAF53}"/>
            </c:ext>
          </c:extLst>
        </c:ser>
        <c:ser>
          <c:idx val="3"/>
          <c:order val="3"/>
          <c:spPr>
            <a:solidFill>
              <a:srgbClr val="FFD1D1"/>
            </a:solidFill>
            <a:ln>
              <a:noFill/>
            </a:ln>
            <a:effectLst/>
          </c:spPr>
          <c:invertIfNegative val="0"/>
          <c:val>
            <c:numRef>
              <c:f>Text!$K$413:$L$413</c:f>
              <c:numCache>
                <c:formatCode>General</c:formatCode>
                <c:ptCount val="2"/>
                <c:pt idx="0">
                  <c:v>5.0000000000000044E-2</c:v>
                </c:pt>
                <c:pt idx="1">
                  <c:v>0</c:v>
                </c:pt>
              </c:numCache>
            </c:numRef>
          </c:val>
          <c:extLst>
            <c:ext xmlns:c16="http://schemas.microsoft.com/office/drawing/2014/chart" uri="{C3380CC4-5D6E-409C-BE32-E72D297353CC}">
              <c16:uniqueId val="{00000003-A6B5-426C-B43B-1F7E0C9FAF53}"/>
            </c:ext>
          </c:extLst>
        </c:ser>
        <c:ser>
          <c:idx val="4"/>
          <c:order val="4"/>
          <c:spPr>
            <a:solidFill>
              <a:sysClr val="window" lastClr="FFFFFF"/>
            </a:solidFill>
            <a:ln>
              <a:solidFill>
                <a:srgbClr val="E30613"/>
              </a:solidFill>
            </a:ln>
            <a:effectLst/>
          </c:spPr>
          <c:invertIfNegative val="0"/>
          <c:val>
            <c:numRef>
              <c:f>Text!$K$414:$L$414</c:f>
              <c:numCache>
                <c:formatCode>General</c:formatCode>
                <c:ptCount val="2"/>
                <c:pt idx="0">
                  <c:v>9.999999999999995E-2</c:v>
                </c:pt>
                <c:pt idx="1">
                  <c:v>0.19</c:v>
                </c:pt>
              </c:numCache>
            </c:numRef>
          </c:val>
          <c:extLst>
            <c:ext xmlns:c16="http://schemas.microsoft.com/office/drawing/2014/chart" uri="{C3380CC4-5D6E-409C-BE32-E72D297353CC}">
              <c16:uniqueId val="{00000004-A6B5-426C-B43B-1F7E0C9FAF53}"/>
            </c:ext>
          </c:extLst>
        </c:ser>
        <c:ser>
          <c:idx val="5"/>
          <c:order val="5"/>
          <c:spPr>
            <a:solidFill>
              <a:sysClr val="window" lastClr="FFFFFF"/>
            </a:solidFill>
            <a:ln>
              <a:solidFill>
                <a:srgbClr val="C00000"/>
              </a:solidFill>
            </a:ln>
            <a:effectLst/>
          </c:spPr>
          <c:invertIfNegative val="0"/>
          <c:val>
            <c:numRef>
              <c:f>Text!$K$415:$L$415</c:f>
              <c:numCache>
                <c:formatCode>General</c:formatCode>
                <c:ptCount val="2"/>
                <c:pt idx="0">
                  <c:v>0</c:v>
                </c:pt>
                <c:pt idx="1">
                  <c:v>0</c:v>
                </c:pt>
              </c:numCache>
            </c:numRef>
          </c:val>
          <c:extLst>
            <c:ext xmlns:c16="http://schemas.microsoft.com/office/drawing/2014/chart" uri="{C3380CC4-5D6E-409C-BE32-E72D297353CC}">
              <c16:uniqueId val="{00000005-A6B5-426C-B43B-1F7E0C9FAF53}"/>
            </c:ext>
          </c:extLst>
        </c:ser>
        <c:ser>
          <c:idx val="6"/>
          <c:order val="6"/>
          <c:spPr>
            <a:solidFill>
              <a:sysClr val="window" lastClr="FFFFFF"/>
            </a:solidFill>
            <a:ln>
              <a:solidFill>
                <a:srgbClr val="C00000"/>
              </a:solidFill>
            </a:ln>
            <a:effectLst/>
          </c:spPr>
          <c:invertIfNegative val="0"/>
          <c:val>
            <c:numRef>
              <c:f>Text!$K$416:$L$416</c:f>
              <c:numCache>
                <c:formatCode>General</c:formatCode>
                <c:ptCount val="2"/>
                <c:pt idx="0">
                  <c:v>0</c:v>
                </c:pt>
                <c:pt idx="1">
                  <c:v>0</c:v>
                </c:pt>
              </c:numCache>
            </c:numRef>
          </c:val>
          <c:extLst>
            <c:ext xmlns:c16="http://schemas.microsoft.com/office/drawing/2014/chart" uri="{C3380CC4-5D6E-409C-BE32-E72D297353CC}">
              <c16:uniqueId val="{00000006-A6B5-426C-B43B-1F7E0C9FAF53}"/>
            </c:ext>
          </c:extLst>
        </c:ser>
        <c:ser>
          <c:idx val="7"/>
          <c:order val="7"/>
          <c:spPr>
            <a:solidFill>
              <a:schemeClr val="accent2">
                <a:lumMod val="60000"/>
              </a:schemeClr>
            </a:solidFill>
            <a:ln>
              <a:solidFill>
                <a:srgbClr val="E30613"/>
              </a:solidFill>
            </a:ln>
            <a:effectLst/>
          </c:spPr>
          <c:invertIfNegative val="0"/>
          <c:dPt>
            <c:idx val="0"/>
            <c:invertIfNegative val="0"/>
            <c:bubble3D val="0"/>
            <c:spPr>
              <a:solidFill>
                <a:sysClr val="window" lastClr="FFFFFF"/>
              </a:solidFill>
              <a:ln>
                <a:solidFill>
                  <a:srgbClr val="E30613"/>
                </a:solidFill>
              </a:ln>
              <a:effectLst/>
            </c:spPr>
            <c:extLst>
              <c:ext xmlns:c16="http://schemas.microsoft.com/office/drawing/2014/chart" uri="{C3380CC4-5D6E-409C-BE32-E72D297353CC}">
                <c16:uniqueId val="{00000008-A6B5-426C-B43B-1F7E0C9FAF53}"/>
              </c:ext>
            </c:extLst>
          </c:dPt>
          <c:dPt>
            <c:idx val="1"/>
            <c:invertIfNegative val="0"/>
            <c:bubble3D val="0"/>
            <c:spPr>
              <a:solidFill>
                <a:sysClr val="window" lastClr="FFFFFF"/>
              </a:solidFill>
              <a:ln>
                <a:solidFill>
                  <a:srgbClr val="E30613"/>
                </a:solidFill>
              </a:ln>
              <a:effectLst/>
            </c:spPr>
            <c:extLst>
              <c:ext xmlns:c16="http://schemas.microsoft.com/office/drawing/2014/chart" uri="{C3380CC4-5D6E-409C-BE32-E72D297353CC}">
                <c16:uniqueId val="{0000000A-A6B5-426C-B43B-1F7E0C9FAF53}"/>
              </c:ext>
            </c:extLst>
          </c:dPt>
          <c:val>
            <c:numRef>
              <c:f>Text!$K$417:$L$417</c:f>
              <c:numCache>
                <c:formatCode>General</c:formatCode>
                <c:ptCount val="2"/>
                <c:pt idx="0">
                  <c:v>0</c:v>
                </c:pt>
                <c:pt idx="1">
                  <c:v>0.15</c:v>
                </c:pt>
              </c:numCache>
            </c:numRef>
          </c:val>
          <c:extLst>
            <c:ext xmlns:c16="http://schemas.microsoft.com/office/drawing/2014/chart" uri="{C3380CC4-5D6E-409C-BE32-E72D297353CC}">
              <c16:uniqueId val="{0000000B-A6B5-426C-B43B-1F7E0C9FAF5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Text!$Q$339:$T$339</c15:sqref>
                  </c15:fullRef>
                </c:ext>
              </c:extLst>
              <c:f>Text!$Q$339</c:f>
              <c:numCache>
                <c:formatCode>0.00</c:formatCode>
                <c:ptCount val="1"/>
                <c:pt idx="0">
                  <c:v>0</c:v>
                </c:pt>
              </c:numCache>
            </c:numRef>
          </c:val>
          <c:extLst>
            <c:ext xmlns:c16="http://schemas.microsoft.com/office/drawing/2014/chart" uri="{C3380CC4-5D6E-409C-BE32-E72D297353CC}">
              <c16:uniqueId val="{00000000-CA2D-4107-81A2-65730154456B}"/>
            </c:ext>
          </c:extLst>
        </c:ser>
        <c:ser>
          <c:idx val="1"/>
          <c:order val="1"/>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Text!$Q$340:$T$340</c15:sqref>
                  </c15:fullRef>
                </c:ext>
              </c:extLst>
              <c:f>Text!$Q$340</c:f>
              <c:numCache>
                <c:formatCode>0.00</c:formatCode>
                <c:ptCount val="1"/>
                <c:pt idx="0">
                  <c:v>0</c:v>
                </c:pt>
              </c:numCache>
            </c:numRef>
          </c:val>
          <c:extLst>
            <c:ext xmlns:c16="http://schemas.microsoft.com/office/drawing/2014/chart" uri="{C3380CC4-5D6E-409C-BE32-E72D297353CC}">
              <c16:uniqueId val="{00000001-CA2D-4107-81A2-65730154456B}"/>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Text!$Q$341:$T$341</c15:sqref>
                  </c15:fullRef>
                </c:ext>
              </c:extLst>
              <c:f>Text!$Q$341</c:f>
              <c:numCache>
                <c:formatCode>0.00</c:formatCode>
                <c:ptCount val="1"/>
                <c:pt idx="0">
                  <c:v>0</c:v>
                </c:pt>
              </c:numCache>
            </c:numRef>
          </c:val>
          <c:extLst>
            <c:ext xmlns:c16="http://schemas.microsoft.com/office/drawing/2014/chart" uri="{C3380CC4-5D6E-409C-BE32-E72D297353CC}">
              <c16:uniqueId val="{00000002-CA2D-4107-81A2-65730154456B}"/>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Text!$Q$342:$T$342</c15:sqref>
                  </c15:fullRef>
                </c:ext>
              </c:extLst>
              <c:f>Text!$Q$342</c:f>
              <c:numCache>
                <c:formatCode>0.00</c:formatCode>
                <c:ptCount val="1"/>
                <c:pt idx="0">
                  <c:v>0</c:v>
                </c:pt>
              </c:numCache>
            </c:numRef>
          </c:val>
          <c:extLst>
            <c:ext xmlns:c16="http://schemas.microsoft.com/office/drawing/2014/chart" uri="{C3380CC4-5D6E-409C-BE32-E72D297353CC}">
              <c16:uniqueId val="{00000003-CA2D-4107-81A2-65730154456B}"/>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Text!$Q$343:$T$343</c15:sqref>
                  </c15:fullRef>
                </c:ext>
              </c:extLst>
              <c:f>Text!$Q$343</c:f>
              <c:numCache>
                <c:formatCode>0.00</c:formatCode>
                <c:ptCount val="1"/>
                <c:pt idx="0">
                  <c:v>-0.5</c:v>
                </c:pt>
              </c:numCache>
            </c:numRef>
          </c:val>
          <c:extLst>
            <c:ext xmlns:c16="http://schemas.microsoft.com/office/drawing/2014/chart" uri="{C3380CC4-5D6E-409C-BE32-E72D297353CC}">
              <c16:uniqueId val="{00000004-CA2D-4107-81A2-65730154456B}"/>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Text!$Q$344:$T$344</c15:sqref>
                  </c15:fullRef>
                </c:ext>
              </c:extLst>
              <c:f>Text!$Q$344</c:f>
              <c:numCache>
                <c:formatCode>0.00</c:formatCode>
                <c:ptCount val="1"/>
                <c:pt idx="0">
                  <c:v>-0.15</c:v>
                </c:pt>
              </c:numCache>
            </c:numRef>
          </c:val>
          <c:extLst>
            <c:ext xmlns:c16="http://schemas.microsoft.com/office/drawing/2014/chart" uri="{C3380CC4-5D6E-409C-BE32-E72D297353CC}">
              <c16:uniqueId val="{00000005-CA2D-4107-81A2-65730154456B}"/>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Text!$Q$345:$T$345</c15:sqref>
                  </c15:fullRef>
                </c:ext>
              </c:extLst>
              <c:f>Text!$Q$345</c:f>
              <c:numCache>
                <c:formatCode>0.00</c:formatCode>
                <c:ptCount val="1"/>
                <c:pt idx="0">
                  <c:v>-0.2</c:v>
                </c:pt>
              </c:numCache>
            </c:numRef>
          </c:val>
          <c:extLst>
            <c:ext xmlns:c16="http://schemas.microsoft.com/office/drawing/2014/chart" uri="{C3380CC4-5D6E-409C-BE32-E72D297353CC}">
              <c16:uniqueId val="{00000006-CA2D-4107-81A2-65730154456B}"/>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Text!$Q$346:$T$346</c15:sqref>
                  </c15:fullRef>
                </c:ext>
              </c:extLst>
              <c:f>Text!$Q$346</c:f>
              <c:numCache>
                <c:formatCode>0.00</c:formatCode>
                <c:ptCount val="1"/>
                <c:pt idx="0">
                  <c:v>-0.15</c:v>
                </c:pt>
              </c:numCache>
            </c:numRef>
          </c:val>
          <c:extLst>
            <c:ext xmlns:c16="http://schemas.microsoft.com/office/drawing/2014/chart" uri="{C3380CC4-5D6E-409C-BE32-E72D297353CC}">
              <c16:uniqueId val="{00000007-CA2D-4107-81A2-65730154456B}"/>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dPt>
            <c:idx val="0"/>
            <c:invertIfNegative val="0"/>
            <c:bubble3D val="0"/>
            <c:spPr>
              <a:solidFill>
                <a:srgbClr val="F9DBDF"/>
              </a:solidFill>
              <a:ln>
                <a:solidFill>
                  <a:srgbClr val="E30613"/>
                </a:solidFill>
              </a:ln>
              <a:effectLst/>
            </c:spPr>
            <c:extLst>
              <c:ext xmlns:c16="http://schemas.microsoft.com/office/drawing/2014/chart" uri="{C3380CC4-5D6E-409C-BE32-E72D297353CC}">
                <c16:uniqueId val="{00000000-6A5B-49A5-9FB2-79A89E4EFB97}"/>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Text!$W$339</c:f>
              <c:numCache>
                <c:formatCode>0.00</c:formatCode>
                <c:ptCount val="1"/>
                <c:pt idx="0">
                  <c:v>0</c:v>
                </c:pt>
              </c:numCache>
            </c:numRef>
          </c:val>
          <c:extLst>
            <c:ext xmlns:c16="http://schemas.microsoft.com/office/drawing/2014/chart" uri="{C3380CC4-5D6E-409C-BE32-E72D297353CC}">
              <c16:uniqueId val="{00000000-0D89-4441-9B47-8BAB705B0B8A}"/>
            </c:ext>
          </c:extLst>
        </c:ser>
        <c:ser>
          <c:idx val="1"/>
          <c:order val="1"/>
          <c:spPr>
            <a:solidFill>
              <a:srgbClr val="FFD1D1"/>
            </a:solidFill>
            <a:ln>
              <a:solidFill>
                <a:srgbClr val="E30613"/>
              </a:solidFill>
            </a:ln>
            <a:effectLst/>
          </c:spPr>
          <c:invertIfNegative val="0"/>
          <c:dPt>
            <c:idx val="0"/>
            <c:invertIfNegative val="0"/>
            <c:bubble3D val="0"/>
            <c:spPr>
              <a:solidFill>
                <a:srgbClr val="F9DBDF"/>
              </a:solidFill>
              <a:ln>
                <a:solidFill>
                  <a:srgbClr val="E30613"/>
                </a:solidFill>
              </a:ln>
              <a:effectLst/>
            </c:spPr>
            <c:extLst>
              <c:ext xmlns:c16="http://schemas.microsoft.com/office/drawing/2014/chart" uri="{C3380CC4-5D6E-409C-BE32-E72D297353CC}">
                <c16:uniqueId val="{00000001-6A5B-49A5-9FB2-79A89E4EFB97}"/>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Text!$W$340</c:f>
              <c:numCache>
                <c:formatCode>0.00</c:formatCode>
                <c:ptCount val="1"/>
                <c:pt idx="0">
                  <c:v>0</c:v>
                </c:pt>
              </c:numCache>
            </c:numRef>
          </c:val>
          <c:extLst>
            <c:ext xmlns:c16="http://schemas.microsoft.com/office/drawing/2014/chart" uri="{C3380CC4-5D6E-409C-BE32-E72D297353CC}">
              <c16:uniqueId val="{00000001-0D89-4441-9B47-8BAB705B0B8A}"/>
            </c:ext>
          </c:extLst>
        </c:ser>
        <c:ser>
          <c:idx val="2"/>
          <c:order val="2"/>
          <c:spPr>
            <a:solidFill>
              <a:srgbClr val="F9DBD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Text!$W$341</c:f>
              <c:numCache>
                <c:formatCode>0.00</c:formatCode>
                <c:ptCount val="1"/>
                <c:pt idx="0">
                  <c:v>0</c:v>
                </c:pt>
              </c:numCache>
            </c:numRef>
          </c:val>
          <c:extLst>
            <c:ext xmlns:c16="http://schemas.microsoft.com/office/drawing/2014/chart" uri="{C3380CC4-5D6E-409C-BE32-E72D297353CC}">
              <c16:uniqueId val="{00000002-0D89-4441-9B47-8BAB705B0B8A}"/>
            </c:ext>
          </c:extLst>
        </c:ser>
        <c:ser>
          <c:idx val="3"/>
          <c:order val="3"/>
          <c:spPr>
            <a:solidFill>
              <a:srgbClr val="F9DBD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Text!$W$342</c:f>
              <c:numCache>
                <c:formatCode>0.00</c:formatCode>
                <c:ptCount val="1"/>
                <c:pt idx="0">
                  <c:v>0</c:v>
                </c:pt>
              </c:numCache>
            </c:numRef>
          </c:val>
          <c:extLst>
            <c:ext xmlns:c16="http://schemas.microsoft.com/office/drawing/2014/chart" uri="{C3380CC4-5D6E-409C-BE32-E72D297353CC}">
              <c16:uniqueId val="{00000003-0D89-4441-9B47-8BAB705B0B8A}"/>
            </c:ext>
          </c:extLst>
        </c:ser>
        <c:ser>
          <c:idx val="4"/>
          <c:order val="4"/>
          <c:spPr>
            <a:solidFill>
              <a:sysClr val="window" lastClr="FFFFFF"/>
            </a:solidFill>
            <a:ln>
              <a:solidFill>
                <a:srgbClr val="E30613"/>
              </a:solidFill>
            </a:ln>
            <a:effectLst/>
          </c:spPr>
          <c:invertIfNegative val="0"/>
          <c:dPt>
            <c:idx val="0"/>
            <c:invertIfNegative val="0"/>
            <c:bubble3D val="0"/>
            <c:spPr>
              <a:solidFill>
                <a:sysClr val="window" lastClr="FFFFFF"/>
              </a:solidFill>
              <a:ln>
                <a:solidFill>
                  <a:srgbClr val="E30613"/>
                </a:solidFill>
              </a:ln>
              <a:effectLst/>
            </c:spPr>
            <c:extLst>
              <c:ext xmlns:c16="http://schemas.microsoft.com/office/drawing/2014/chart" uri="{C3380CC4-5D6E-409C-BE32-E72D297353CC}">
                <c16:uniqueId val="{00000002-6A5B-49A5-9FB2-79A89E4EFB97}"/>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Text!$W$343</c:f>
              <c:numCache>
                <c:formatCode>0.00</c:formatCode>
                <c:ptCount val="1"/>
                <c:pt idx="0">
                  <c:v>0.5</c:v>
                </c:pt>
              </c:numCache>
            </c:numRef>
          </c:val>
          <c:extLst>
            <c:ext xmlns:c16="http://schemas.microsoft.com/office/drawing/2014/chart" uri="{C3380CC4-5D6E-409C-BE32-E72D297353CC}">
              <c16:uniqueId val="{00000004-0D89-4441-9B47-8BAB705B0B8A}"/>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Text!$W$344</c:f>
              <c:numCache>
                <c:formatCode>0.00</c:formatCode>
                <c:ptCount val="1"/>
                <c:pt idx="0">
                  <c:v>0.15</c:v>
                </c:pt>
              </c:numCache>
            </c:numRef>
          </c:val>
          <c:extLst>
            <c:ext xmlns:c16="http://schemas.microsoft.com/office/drawing/2014/chart" uri="{C3380CC4-5D6E-409C-BE32-E72D297353CC}">
              <c16:uniqueId val="{00000005-0D89-4441-9B47-8BAB705B0B8A}"/>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Text!$W$345</c:f>
              <c:numCache>
                <c:formatCode>0.00</c:formatCode>
                <c:ptCount val="1"/>
                <c:pt idx="0">
                  <c:v>0.2</c:v>
                </c:pt>
              </c:numCache>
            </c:numRef>
          </c:val>
          <c:extLst>
            <c:ext xmlns:c16="http://schemas.microsoft.com/office/drawing/2014/chart" uri="{C3380CC4-5D6E-409C-BE32-E72D297353CC}">
              <c16:uniqueId val="{00000006-0D89-4441-9B47-8BAB705B0B8A}"/>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Text!$W$346</c:f>
              <c:numCache>
                <c:formatCode>0.00</c:formatCode>
                <c:ptCount val="1"/>
                <c:pt idx="0">
                  <c:v>0.15</c:v>
                </c:pt>
              </c:numCache>
            </c:numRef>
          </c:val>
          <c:extLst>
            <c:ext xmlns:c16="http://schemas.microsoft.com/office/drawing/2014/chart" uri="{C3380CC4-5D6E-409C-BE32-E72D297353CC}">
              <c16:uniqueId val="{00000007-0D89-4441-9B47-8BAB705B0B8A}"/>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Text!$K$362:$N$362</c15:sqref>
                  </c15:fullRef>
                </c:ext>
              </c:extLst>
              <c:f>Text!$M$362:$N$362</c:f>
              <c:numCache>
                <c:formatCode>0.00</c:formatCode>
                <c:ptCount val="2"/>
                <c:pt idx="0">
                  <c:v>0</c:v>
                </c:pt>
                <c:pt idx="1">
                  <c:v>0</c:v>
                </c:pt>
              </c:numCache>
            </c:numRef>
          </c:val>
          <c:extLst>
            <c:ext xmlns:c16="http://schemas.microsoft.com/office/drawing/2014/chart" uri="{C3380CC4-5D6E-409C-BE32-E72D297353CC}">
              <c16:uniqueId val="{00000000-295B-496B-A33E-9AFC85C99FD3}"/>
            </c:ext>
          </c:extLst>
        </c:ser>
        <c:ser>
          <c:idx val="1"/>
          <c:order val="1"/>
          <c:spPr>
            <a:solidFill>
              <a:srgbClr val="D1E3B0"/>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Text!$K$363:$N$363</c15:sqref>
                  </c15:fullRef>
                </c:ext>
              </c:extLst>
              <c:f>Text!$M$363:$N$363</c:f>
              <c:numCache>
                <c:formatCode>0.00</c:formatCode>
                <c:ptCount val="2"/>
                <c:pt idx="0">
                  <c:v>0</c:v>
                </c:pt>
                <c:pt idx="1">
                  <c:v>0</c:v>
                </c:pt>
              </c:numCache>
            </c:numRef>
          </c:val>
          <c:extLst>
            <c:ext xmlns:c16="http://schemas.microsoft.com/office/drawing/2014/chart" uri="{C3380CC4-5D6E-409C-BE32-E72D297353CC}">
              <c16:uniqueId val="{00000001-295B-496B-A33E-9AFC85C99FD3}"/>
            </c:ext>
          </c:extLst>
        </c:ser>
        <c:ser>
          <c:idx val="2"/>
          <c:order val="2"/>
          <c:spPr>
            <a:solidFill>
              <a:srgbClr val="D1E3B0"/>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Text!$K$364:$N$364</c15:sqref>
                  </c15:fullRef>
                </c:ext>
              </c:extLst>
              <c:f>Text!$M$364:$N$364</c:f>
              <c:numCache>
                <c:formatCode>0.00</c:formatCode>
                <c:ptCount val="2"/>
                <c:pt idx="0">
                  <c:v>0</c:v>
                </c:pt>
                <c:pt idx="1">
                  <c:v>0</c:v>
                </c:pt>
              </c:numCache>
            </c:numRef>
          </c:val>
          <c:extLst>
            <c:ext xmlns:c16="http://schemas.microsoft.com/office/drawing/2014/chart" uri="{C3380CC4-5D6E-409C-BE32-E72D297353CC}">
              <c16:uniqueId val="{00000002-295B-496B-A33E-9AFC85C99FD3}"/>
            </c:ext>
          </c:extLst>
        </c:ser>
        <c:ser>
          <c:idx val="3"/>
          <c:order val="3"/>
          <c:spPr>
            <a:solidFill>
              <a:srgbClr val="D1E3B0"/>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Text!$K$365:$N$365</c15:sqref>
                  </c15:fullRef>
                </c:ext>
              </c:extLst>
              <c:f>Text!$M$365:$N$365</c:f>
              <c:numCache>
                <c:formatCode>0.00</c:formatCode>
                <c:ptCount val="2"/>
                <c:pt idx="0">
                  <c:v>0</c:v>
                </c:pt>
                <c:pt idx="1">
                  <c:v>0</c:v>
                </c:pt>
              </c:numCache>
            </c:numRef>
          </c:val>
          <c:extLst>
            <c:ext xmlns:c16="http://schemas.microsoft.com/office/drawing/2014/chart" uri="{C3380CC4-5D6E-409C-BE32-E72D297353CC}">
              <c16:uniqueId val="{00000003-295B-496B-A33E-9AFC85C99FD3}"/>
            </c:ext>
          </c:extLst>
        </c:ser>
        <c:ser>
          <c:idx val="4"/>
          <c:order val="4"/>
          <c:spPr>
            <a:solidFill>
              <a:schemeClr val="bg1"/>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Text!$K$366:$N$366</c15:sqref>
                  </c15:fullRef>
                </c:ext>
              </c:extLst>
              <c:f>Text!$M$366:$N$366</c:f>
              <c:numCache>
                <c:formatCode>0.00</c:formatCode>
                <c:ptCount val="2"/>
                <c:pt idx="0">
                  <c:v>0.5</c:v>
                </c:pt>
                <c:pt idx="1">
                  <c:v>0.5</c:v>
                </c:pt>
              </c:numCache>
            </c:numRef>
          </c:val>
          <c:extLst>
            <c:ext xmlns:c16="http://schemas.microsoft.com/office/drawing/2014/chart" uri="{C3380CC4-5D6E-409C-BE32-E72D297353CC}">
              <c16:uniqueId val="{00000004-295B-496B-A33E-9AFC85C99FD3}"/>
            </c:ext>
          </c:extLst>
        </c:ser>
        <c:ser>
          <c:idx val="5"/>
          <c:order val="5"/>
          <c:spPr>
            <a:solidFill>
              <a:schemeClr val="bg1"/>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Text!$K$367:$N$367</c15:sqref>
                  </c15:fullRef>
                </c:ext>
              </c:extLst>
              <c:f>Text!$M$367:$N$367</c:f>
              <c:numCache>
                <c:formatCode>0.00</c:formatCode>
                <c:ptCount val="2"/>
                <c:pt idx="0">
                  <c:v>0.15</c:v>
                </c:pt>
                <c:pt idx="1">
                  <c:v>0.15</c:v>
                </c:pt>
              </c:numCache>
            </c:numRef>
          </c:val>
          <c:extLst>
            <c:ext xmlns:c16="http://schemas.microsoft.com/office/drawing/2014/chart" uri="{C3380CC4-5D6E-409C-BE32-E72D297353CC}">
              <c16:uniqueId val="{00000005-295B-496B-A33E-9AFC85C99FD3}"/>
            </c:ext>
          </c:extLst>
        </c:ser>
        <c:ser>
          <c:idx val="6"/>
          <c:order val="6"/>
          <c:spPr>
            <a:solidFill>
              <a:schemeClr val="bg1"/>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Text!$K$368:$N$368</c15:sqref>
                  </c15:fullRef>
                </c:ext>
              </c:extLst>
              <c:f>Text!$M$368:$N$368</c:f>
              <c:numCache>
                <c:formatCode>0.00</c:formatCode>
                <c:ptCount val="2"/>
                <c:pt idx="0">
                  <c:v>0.2</c:v>
                </c:pt>
                <c:pt idx="1">
                  <c:v>0.2</c:v>
                </c:pt>
              </c:numCache>
            </c:numRef>
          </c:val>
          <c:extLst>
            <c:ext xmlns:c16="http://schemas.microsoft.com/office/drawing/2014/chart" uri="{C3380CC4-5D6E-409C-BE32-E72D297353CC}">
              <c16:uniqueId val="{00000006-295B-496B-A33E-9AFC85C99FD3}"/>
            </c:ext>
          </c:extLst>
        </c:ser>
        <c:ser>
          <c:idx val="7"/>
          <c:order val="7"/>
          <c:spPr>
            <a:solidFill>
              <a:schemeClr val="bg1"/>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Text!$K$369:$N$369</c15:sqref>
                  </c15:fullRef>
                </c:ext>
              </c:extLst>
              <c:f>Text!$M$369:$N$369</c:f>
              <c:numCache>
                <c:formatCode>0.00</c:formatCode>
                <c:ptCount val="2"/>
                <c:pt idx="0">
                  <c:v>0.15</c:v>
                </c:pt>
                <c:pt idx="1">
                  <c:v>0.15</c:v>
                </c:pt>
              </c:numCache>
            </c:numRef>
          </c:val>
          <c:extLst>
            <c:ext xmlns:c16="http://schemas.microsoft.com/office/drawing/2014/chart" uri="{C3380CC4-5D6E-409C-BE32-E72D297353CC}">
              <c16:uniqueId val="{00000007-295B-496B-A33E-9AFC85C99FD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a:solidFill>
                <a:schemeClr val="bg1">
                  <a:lumMod val="50000"/>
                </a:schemeClr>
              </a:solidFill>
            </a:ln>
            <a:effectLst/>
          </c:spPr>
          <c:dLbls>
            <c:delete val="1"/>
          </c:dLbls>
          <c:cat>
            <c:strRef>
              <c:f>Text!$L$394</c:f>
              <c:strCache>
                <c:ptCount val="1"/>
                <c:pt idx="0">
                  <c:v>100 %                </c:v>
                </c:pt>
              </c:strCache>
            </c:strRef>
          </c:cat>
          <c:val>
            <c:numRef>
              <c:f>(Text!$M$394:$M$397,Text!$M$398:$M$400,Text!$M$401:$M$404)</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7DC9-4DB5-ADB7-CBA121E55904}"/>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80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l="500" t="3000"/>
      </a:stretch>
    </a:blipFill>
    <a:ln w="9525" cap="flat" cmpd="sng" algn="ctr">
      <a:noFill/>
      <a:round/>
    </a:ln>
    <a:effectLst/>
  </c:spPr>
  <c:txPr>
    <a:bodyPr/>
    <a:lstStyle/>
    <a:p>
      <a:pPr>
        <a:defRPr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a:solidFill>
                <a:schemeClr val="bg1">
                  <a:lumMod val="50000"/>
                </a:schemeClr>
              </a:solidFill>
            </a:ln>
            <a:effectLst/>
          </c:spPr>
          <c:dLbls>
            <c:delete val="1"/>
          </c:dLbls>
          <c:cat>
            <c:strRef>
              <c:f>Text!$R$394</c:f>
              <c:strCache>
                <c:ptCount val="1"/>
                <c:pt idx="0">
                  <c:v>100 %                </c:v>
                </c:pt>
              </c:strCache>
            </c:strRef>
          </c:cat>
          <c:val>
            <c:numRef>
              <c:f>(Text!$S$394:$S$397,Text!$S$398:$S$399,Text!$S$400:$S$403)</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469-4628-AA03-AA22F593EB53}"/>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80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a:stretch>
    </a:blipFill>
    <a:ln w="9525" cap="flat" cmpd="sng" algn="ctr">
      <a:noFill/>
      <a:round/>
    </a:ln>
    <a:effectLst/>
  </c:spPr>
  <c:txPr>
    <a:bodyPr/>
    <a:lstStyle/>
    <a:p>
      <a:pPr>
        <a:defRPr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w="25400">
              <a:noFill/>
            </a:ln>
            <a:effectLst/>
          </c:spPr>
          <c:dLbls>
            <c:delete val="1"/>
          </c:dLbls>
          <c:cat>
            <c:strRef>
              <c:f>Text!$X$394</c:f>
              <c:strCache>
                <c:ptCount val="1"/>
                <c:pt idx="0">
                  <c:v>100 %                </c:v>
                </c:pt>
              </c:strCache>
            </c:strRef>
          </c:cat>
          <c:val>
            <c:numRef>
              <c:f>(Text!$Y$394:$Y$395,Text!$Y$396:$Y$397,Text!$Y$398:$Y$399)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56A-46B8-B248-26F47B4CF591}"/>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65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l="2000" t="3000" r="-2000" b="1000"/>
      </a:stretch>
    </a:blipFill>
    <a:ln w="9525" cap="flat" cmpd="sng" algn="ctr">
      <a:noFill/>
      <a:round/>
    </a:ln>
    <a:effectLst/>
  </c:spPr>
  <c:txPr>
    <a:bodyPr/>
    <a:lstStyle/>
    <a:p>
      <a:pPr>
        <a:defRPr sz="550"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Text!$Z$339</c:f>
              <c:numCache>
                <c:formatCode>0.00</c:formatCode>
                <c:ptCount val="1"/>
                <c:pt idx="0">
                  <c:v>0</c:v>
                </c:pt>
              </c:numCache>
            </c:numRef>
          </c:val>
          <c:extLst>
            <c:ext xmlns:c16="http://schemas.microsoft.com/office/drawing/2014/chart" uri="{C3380CC4-5D6E-409C-BE32-E72D297353CC}">
              <c16:uniqueId val="{00000000-A3ED-48F0-BC00-5ABFD8D65537}"/>
            </c:ext>
          </c:extLst>
        </c:ser>
        <c:ser>
          <c:idx val="1"/>
          <c:order val="1"/>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Text!$Z$340</c:f>
              <c:numCache>
                <c:formatCode>0.00</c:formatCode>
                <c:ptCount val="1"/>
                <c:pt idx="0">
                  <c:v>0</c:v>
                </c:pt>
              </c:numCache>
            </c:numRef>
          </c:val>
          <c:extLst>
            <c:ext xmlns:c16="http://schemas.microsoft.com/office/drawing/2014/chart" uri="{C3380CC4-5D6E-409C-BE32-E72D297353CC}">
              <c16:uniqueId val="{00000001-A3ED-48F0-BC00-5ABFD8D65537}"/>
            </c:ext>
          </c:extLst>
        </c:ser>
        <c:ser>
          <c:idx val="2"/>
          <c:order val="2"/>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Text!$Z$341</c:f>
              <c:numCache>
                <c:formatCode>0.00</c:formatCode>
                <c:ptCount val="1"/>
                <c:pt idx="0">
                  <c:v>0</c:v>
                </c:pt>
              </c:numCache>
            </c:numRef>
          </c:val>
          <c:extLst>
            <c:ext xmlns:c16="http://schemas.microsoft.com/office/drawing/2014/chart" uri="{C3380CC4-5D6E-409C-BE32-E72D297353CC}">
              <c16:uniqueId val="{00000002-A3ED-48F0-BC00-5ABFD8D65537}"/>
            </c:ext>
          </c:extLst>
        </c:ser>
        <c:ser>
          <c:idx val="3"/>
          <c:order val="3"/>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Text!$Z$342</c:f>
              <c:numCache>
                <c:formatCode>0.00</c:formatCode>
                <c:ptCount val="1"/>
                <c:pt idx="0">
                  <c:v>0</c:v>
                </c:pt>
              </c:numCache>
            </c:numRef>
          </c:val>
          <c:extLst>
            <c:ext xmlns:c16="http://schemas.microsoft.com/office/drawing/2014/chart" uri="{C3380CC4-5D6E-409C-BE32-E72D297353CC}">
              <c16:uniqueId val="{00000003-A3ED-48F0-BC00-5ABFD8D65537}"/>
            </c:ext>
          </c:extLst>
        </c:ser>
        <c:ser>
          <c:idx val="4"/>
          <c:order val="4"/>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Text!$Z$343</c:f>
              <c:numCache>
                <c:formatCode>0.00</c:formatCode>
                <c:ptCount val="1"/>
                <c:pt idx="0">
                  <c:v>0.5</c:v>
                </c:pt>
              </c:numCache>
            </c:numRef>
          </c:val>
          <c:extLst>
            <c:ext xmlns:c16="http://schemas.microsoft.com/office/drawing/2014/chart" uri="{C3380CC4-5D6E-409C-BE32-E72D297353CC}">
              <c16:uniqueId val="{00000004-A3ED-48F0-BC00-5ABFD8D65537}"/>
            </c:ext>
          </c:extLst>
        </c:ser>
        <c:ser>
          <c:idx val="5"/>
          <c:order val="5"/>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Text!$Z$344</c:f>
              <c:numCache>
                <c:formatCode>0.00</c:formatCode>
                <c:ptCount val="1"/>
                <c:pt idx="0">
                  <c:v>0.15</c:v>
                </c:pt>
              </c:numCache>
            </c:numRef>
          </c:val>
          <c:extLst>
            <c:ext xmlns:c16="http://schemas.microsoft.com/office/drawing/2014/chart" uri="{C3380CC4-5D6E-409C-BE32-E72D297353CC}">
              <c16:uniqueId val="{00000005-A3ED-48F0-BC00-5ABFD8D65537}"/>
            </c:ext>
          </c:extLst>
        </c:ser>
        <c:ser>
          <c:idx val="6"/>
          <c:order val="6"/>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Text!$Z$345</c:f>
              <c:numCache>
                <c:formatCode>0.00</c:formatCode>
                <c:ptCount val="1"/>
                <c:pt idx="0">
                  <c:v>0.2</c:v>
                </c:pt>
              </c:numCache>
            </c:numRef>
          </c:val>
          <c:extLst>
            <c:ext xmlns:c16="http://schemas.microsoft.com/office/drawing/2014/chart" uri="{C3380CC4-5D6E-409C-BE32-E72D297353CC}">
              <c16:uniqueId val="{00000006-A3ED-48F0-BC00-5ABFD8D65537}"/>
            </c:ext>
          </c:extLst>
        </c:ser>
        <c:ser>
          <c:idx val="7"/>
          <c:order val="7"/>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Text!$Z$346</c:f>
              <c:numCache>
                <c:formatCode>0.00</c:formatCode>
                <c:ptCount val="1"/>
                <c:pt idx="0">
                  <c:v>0.15</c:v>
                </c:pt>
              </c:numCache>
            </c:numRef>
          </c:val>
          <c:extLst>
            <c:ext xmlns:c16="http://schemas.microsoft.com/office/drawing/2014/chart" uri="{C3380CC4-5D6E-409C-BE32-E72D297353CC}">
              <c16:uniqueId val="{00000007-A3ED-48F0-BC00-5ABFD8D65537}"/>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solidFill>
      <a:sysClr val="window" lastClr="FFFFFF"/>
    </a:solid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Text!$Q$339:$T$339</c15:sqref>
                  </c15:fullRef>
                </c:ext>
              </c:extLst>
              <c:f>Text!$T$339</c:f>
              <c:numCache>
                <c:formatCode>0.00</c:formatCode>
                <c:ptCount val="1"/>
                <c:pt idx="0">
                  <c:v>0</c:v>
                </c:pt>
              </c:numCache>
            </c:numRef>
          </c:val>
          <c:extLst>
            <c:ext xmlns:c16="http://schemas.microsoft.com/office/drawing/2014/chart" uri="{C3380CC4-5D6E-409C-BE32-E72D297353CC}">
              <c16:uniqueId val="{00000000-9BF2-430F-BE49-2B7763FD62B7}"/>
            </c:ext>
          </c:extLst>
        </c:ser>
        <c:ser>
          <c:idx val="1"/>
          <c:order val="1"/>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Text!$Q$340:$T$340</c15:sqref>
                  </c15:fullRef>
                </c:ext>
              </c:extLst>
              <c:f>Text!$T$340</c:f>
              <c:numCache>
                <c:formatCode>0.00</c:formatCode>
                <c:ptCount val="1"/>
                <c:pt idx="0">
                  <c:v>0</c:v>
                </c:pt>
              </c:numCache>
            </c:numRef>
          </c:val>
          <c:extLst>
            <c:ext xmlns:c16="http://schemas.microsoft.com/office/drawing/2014/chart" uri="{C3380CC4-5D6E-409C-BE32-E72D297353CC}">
              <c16:uniqueId val="{00000001-9BF2-430F-BE49-2B7763FD62B7}"/>
            </c:ext>
          </c:extLst>
        </c:ser>
        <c:ser>
          <c:idx val="2"/>
          <c:order val="2"/>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Text!$Q$341:$T$341</c15:sqref>
                  </c15:fullRef>
                </c:ext>
              </c:extLst>
              <c:f>Text!$T$341</c:f>
              <c:numCache>
                <c:formatCode>0.00</c:formatCode>
                <c:ptCount val="1"/>
                <c:pt idx="0">
                  <c:v>0</c:v>
                </c:pt>
              </c:numCache>
            </c:numRef>
          </c:val>
          <c:extLst>
            <c:ext xmlns:c16="http://schemas.microsoft.com/office/drawing/2014/chart" uri="{C3380CC4-5D6E-409C-BE32-E72D297353CC}">
              <c16:uniqueId val="{00000002-9BF2-430F-BE49-2B7763FD62B7}"/>
            </c:ext>
          </c:extLst>
        </c:ser>
        <c:ser>
          <c:idx val="3"/>
          <c:order val="3"/>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Text!$Q$342:$T$342</c15:sqref>
                  </c15:fullRef>
                </c:ext>
              </c:extLst>
              <c:f>Text!$T$342</c:f>
              <c:numCache>
                <c:formatCode>0.00</c:formatCode>
                <c:ptCount val="1"/>
                <c:pt idx="0">
                  <c:v>0</c:v>
                </c:pt>
              </c:numCache>
            </c:numRef>
          </c:val>
          <c:extLst>
            <c:ext xmlns:c16="http://schemas.microsoft.com/office/drawing/2014/chart" uri="{C3380CC4-5D6E-409C-BE32-E72D297353CC}">
              <c16:uniqueId val="{00000003-9BF2-430F-BE49-2B7763FD62B7}"/>
            </c:ext>
          </c:extLst>
        </c:ser>
        <c:ser>
          <c:idx val="4"/>
          <c:order val="4"/>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Text!$Q$343:$T$343</c15:sqref>
                  </c15:fullRef>
                </c:ext>
              </c:extLst>
              <c:f>Text!$T$343</c:f>
              <c:numCache>
                <c:formatCode>0.00</c:formatCode>
                <c:ptCount val="1"/>
                <c:pt idx="0">
                  <c:v>-0.5</c:v>
                </c:pt>
              </c:numCache>
            </c:numRef>
          </c:val>
          <c:extLst>
            <c:ext xmlns:c16="http://schemas.microsoft.com/office/drawing/2014/chart" uri="{C3380CC4-5D6E-409C-BE32-E72D297353CC}">
              <c16:uniqueId val="{00000004-9BF2-430F-BE49-2B7763FD62B7}"/>
            </c:ext>
          </c:extLst>
        </c:ser>
        <c:ser>
          <c:idx val="5"/>
          <c:order val="5"/>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Text!$Q$344:$T$344</c15:sqref>
                  </c15:fullRef>
                </c:ext>
              </c:extLst>
              <c:f>Text!$T$344</c:f>
              <c:numCache>
                <c:formatCode>0.00</c:formatCode>
                <c:ptCount val="1"/>
                <c:pt idx="0">
                  <c:v>-0.15</c:v>
                </c:pt>
              </c:numCache>
            </c:numRef>
          </c:val>
          <c:extLst>
            <c:ext xmlns:c16="http://schemas.microsoft.com/office/drawing/2014/chart" uri="{C3380CC4-5D6E-409C-BE32-E72D297353CC}">
              <c16:uniqueId val="{00000005-9BF2-430F-BE49-2B7763FD62B7}"/>
            </c:ext>
          </c:extLst>
        </c:ser>
        <c:ser>
          <c:idx val="6"/>
          <c:order val="6"/>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Text!$Q$345:$T$345</c15:sqref>
                  </c15:fullRef>
                </c:ext>
              </c:extLst>
              <c:f>Text!$T$345</c:f>
              <c:numCache>
                <c:formatCode>0.00</c:formatCode>
                <c:ptCount val="1"/>
                <c:pt idx="0">
                  <c:v>-0.2</c:v>
                </c:pt>
              </c:numCache>
            </c:numRef>
          </c:val>
          <c:extLst>
            <c:ext xmlns:c16="http://schemas.microsoft.com/office/drawing/2014/chart" uri="{C3380CC4-5D6E-409C-BE32-E72D297353CC}">
              <c16:uniqueId val="{00000006-9BF2-430F-BE49-2B7763FD62B7}"/>
            </c:ext>
          </c:extLst>
        </c:ser>
        <c:ser>
          <c:idx val="7"/>
          <c:order val="7"/>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Text!$Q$346:$T$346</c15:sqref>
                  </c15:fullRef>
                </c:ext>
              </c:extLst>
              <c:f>Text!$T$346</c:f>
              <c:numCache>
                <c:formatCode>0.00</c:formatCode>
                <c:ptCount val="1"/>
                <c:pt idx="0">
                  <c:v>-0.15</c:v>
                </c:pt>
              </c:numCache>
            </c:numRef>
          </c:val>
          <c:extLst>
            <c:ext xmlns:c16="http://schemas.microsoft.com/office/drawing/2014/chart" uri="{C3380CC4-5D6E-409C-BE32-E72D297353CC}">
              <c16:uniqueId val="{00000007-9BF2-430F-BE49-2B7763FD62B7}"/>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E30613"/>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Text!$X$339:$Y$339</c:f>
              <c:numCache>
                <c:formatCode>0.00</c:formatCode>
                <c:ptCount val="2"/>
                <c:pt idx="0">
                  <c:v>0</c:v>
                </c:pt>
                <c:pt idx="1">
                  <c:v>0</c:v>
                </c:pt>
              </c:numCache>
            </c:numRef>
          </c:val>
          <c:extLst>
            <c:ext xmlns:c16="http://schemas.microsoft.com/office/drawing/2014/chart" uri="{C3380CC4-5D6E-409C-BE32-E72D297353CC}">
              <c16:uniqueId val="{00000000-E2FB-4C12-891A-45AECF2F7B70}"/>
            </c:ext>
          </c:extLst>
        </c:ser>
        <c:ser>
          <c:idx val="1"/>
          <c:order val="1"/>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Text!$X$340:$Y$340</c:f>
              <c:numCache>
                <c:formatCode>0.00</c:formatCode>
                <c:ptCount val="2"/>
                <c:pt idx="0">
                  <c:v>0</c:v>
                </c:pt>
                <c:pt idx="1">
                  <c:v>0</c:v>
                </c:pt>
              </c:numCache>
            </c:numRef>
          </c:val>
          <c:extLst>
            <c:ext xmlns:c16="http://schemas.microsoft.com/office/drawing/2014/chart" uri="{C3380CC4-5D6E-409C-BE32-E72D297353CC}">
              <c16:uniqueId val="{00000001-E2FB-4C12-891A-45AECF2F7B70}"/>
            </c:ext>
          </c:extLst>
        </c:ser>
        <c:ser>
          <c:idx val="2"/>
          <c:order val="2"/>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Text!$X$341:$Y$341</c:f>
              <c:numCache>
                <c:formatCode>0.00</c:formatCode>
                <c:ptCount val="2"/>
                <c:pt idx="0">
                  <c:v>0</c:v>
                </c:pt>
                <c:pt idx="1">
                  <c:v>0</c:v>
                </c:pt>
              </c:numCache>
            </c:numRef>
          </c:val>
          <c:extLst>
            <c:ext xmlns:c16="http://schemas.microsoft.com/office/drawing/2014/chart" uri="{C3380CC4-5D6E-409C-BE32-E72D297353CC}">
              <c16:uniqueId val="{00000002-E2FB-4C12-891A-45AECF2F7B70}"/>
            </c:ext>
          </c:extLst>
        </c:ser>
        <c:ser>
          <c:idx val="3"/>
          <c:order val="3"/>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Text!$X$342:$Y$342</c:f>
              <c:numCache>
                <c:formatCode>0.00</c:formatCode>
                <c:ptCount val="2"/>
                <c:pt idx="0">
                  <c:v>0</c:v>
                </c:pt>
                <c:pt idx="1">
                  <c:v>0</c:v>
                </c:pt>
              </c:numCache>
            </c:numRef>
          </c:val>
          <c:extLst>
            <c:ext xmlns:c16="http://schemas.microsoft.com/office/drawing/2014/chart" uri="{C3380CC4-5D6E-409C-BE32-E72D297353CC}">
              <c16:uniqueId val="{00000003-E2FB-4C12-891A-45AECF2F7B70}"/>
            </c:ext>
          </c:extLst>
        </c:ser>
        <c:ser>
          <c:idx val="4"/>
          <c:order val="4"/>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Text!$X$343:$Y$343</c:f>
              <c:numCache>
                <c:formatCode>0.00</c:formatCode>
                <c:ptCount val="2"/>
                <c:pt idx="0">
                  <c:v>0.5</c:v>
                </c:pt>
                <c:pt idx="1">
                  <c:v>0.5</c:v>
                </c:pt>
              </c:numCache>
            </c:numRef>
          </c:val>
          <c:extLst>
            <c:ext xmlns:c16="http://schemas.microsoft.com/office/drawing/2014/chart" uri="{C3380CC4-5D6E-409C-BE32-E72D297353CC}">
              <c16:uniqueId val="{00000004-E2FB-4C12-891A-45AECF2F7B70}"/>
            </c:ext>
          </c:extLst>
        </c:ser>
        <c:ser>
          <c:idx val="5"/>
          <c:order val="5"/>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Text!$X$344:$Y$344</c:f>
              <c:numCache>
                <c:formatCode>0.00</c:formatCode>
                <c:ptCount val="2"/>
                <c:pt idx="0">
                  <c:v>0.15</c:v>
                </c:pt>
                <c:pt idx="1">
                  <c:v>0.15</c:v>
                </c:pt>
              </c:numCache>
            </c:numRef>
          </c:val>
          <c:extLst>
            <c:ext xmlns:c16="http://schemas.microsoft.com/office/drawing/2014/chart" uri="{C3380CC4-5D6E-409C-BE32-E72D297353CC}">
              <c16:uniqueId val="{00000005-E2FB-4C12-891A-45AECF2F7B70}"/>
            </c:ext>
          </c:extLst>
        </c:ser>
        <c:ser>
          <c:idx val="6"/>
          <c:order val="6"/>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Text!$X$345:$Y$345</c:f>
              <c:numCache>
                <c:formatCode>0.00</c:formatCode>
                <c:ptCount val="2"/>
                <c:pt idx="0">
                  <c:v>0.2</c:v>
                </c:pt>
                <c:pt idx="1">
                  <c:v>0.2</c:v>
                </c:pt>
              </c:numCache>
            </c:numRef>
          </c:val>
          <c:extLst>
            <c:ext xmlns:c16="http://schemas.microsoft.com/office/drawing/2014/chart" uri="{C3380CC4-5D6E-409C-BE32-E72D297353CC}">
              <c16:uniqueId val="{00000006-E2FB-4C12-891A-45AECF2F7B70}"/>
            </c:ext>
          </c:extLst>
        </c:ser>
        <c:ser>
          <c:idx val="7"/>
          <c:order val="7"/>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Text!$X$346:$Y$346</c:f>
              <c:numCache>
                <c:formatCode>0.00</c:formatCode>
                <c:ptCount val="2"/>
                <c:pt idx="0">
                  <c:v>0.15</c:v>
                </c:pt>
                <c:pt idx="1">
                  <c:v>0.15</c:v>
                </c:pt>
              </c:numCache>
            </c:numRef>
          </c:val>
          <c:extLst>
            <c:ext xmlns:c16="http://schemas.microsoft.com/office/drawing/2014/chart" uri="{C3380CC4-5D6E-409C-BE32-E72D297353CC}">
              <c16:uniqueId val="{00000007-E2FB-4C12-891A-45AECF2F7B7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ysClr val="window" lastClr="FFFFFF"/>
            </a:solidFill>
            <a:ln>
              <a:solidFill>
                <a:srgbClr val="E30613"/>
              </a:solidFill>
            </a:ln>
            <a:effectLst/>
          </c:spPr>
          <c:invertIfNegative val="0"/>
          <c:dPt>
            <c:idx val="0"/>
            <c:invertIfNegative val="0"/>
            <c:bubble3D val="0"/>
            <c:spPr>
              <a:solidFill>
                <a:srgbClr val="F29CA4"/>
              </a:solidFill>
              <a:ln>
                <a:solidFill>
                  <a:srgbClr val="E30613"/>
                </a:solidFill>
              </a:ln>
              <a:effectLst/>
            </c:spPr>
            <c:extLst>
              <c:ext xmlns:c16="http://schemas.microsoft.com/office/drawing/2014/chart" uri="{C3380CC4-5D6E-409C-BE32-E72D297353CC}">
                <c16:uniqueId val="{00000001-B602-4714-AE62-7D64768FEFD7}"/>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Text!$Q$384</c:f>
              <c:numCache>
                <c:formatCode>General</c:formatCode>
                <c:ptCount val="1"/>
                <c:pt idx="0">
                  <c:v>0</c:v>
                </c:pt>
              </c:numCache>
            </c:numRef>
          </c:val>
          <c:extLst>
            <c:ext xmlns:c15="http://schemas.microsoft.com/office/drawing/2012/chart" uri="{02D57815-91ED-43cb-92C2-25804820EDAC}">
              <c15:categoryFilterExceptions>
                <c15:categoryFilterException>
                  <c15:sqref>Text!$T$384</c15:sqref>
                  <c15:spPr xmlns:c15="http://schemas.microsoft.com/office/drawing/2012/chart">
                    <a:solidFill>
                      <a:srgbClr val="FFC000">
                        <a:lumMod val="20000"/>
                        <a:lumOff val="80000"/>
                      </a:srgbClr>
                    </a:solidFill>
                    <a:ln>
                      <a:solidFill>
                        <a:srgbClr val="E30613"/>
                      </a:solidFill>
                    </a:ln>
                    <a:effectLst/>
                  </c15:spPr>
                </c15:categoryFilterException>
              </c15:categoryFilterExceptions>
            </c:ext>
            <c:ext xmlns:c16="http://schemas.microsoft.com/office/drawing/2014/chart" uri="{C3380CC4-5D6E-409C-BE32-E72D297353CC}">
              <c16:uniqueId val="{00000002-B602-4714-AE62-7D64768FEFD7}"/>
            </c:ext>
          </c:extLst>
        </c:ser>
        <c:ser>
          <c:idx val="1"/>
          <c:order val="1"/>
          <c:spPr>
            <a:solidFill>
              <a:srgbClr val="F29CA4"/>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Text!$Q$385</c:f>
              <c:numCache>
                <c:formatCode>General</c:formatCode>
                <c:ptCount val="1"/>
                <c:pt idx="0">
                  <c:v>0</c:v>
                </c:pt>
              </c:numCache>
            </c:numRef>
          </c:val>
          <c:extLst>
            <c:ext xmlns:c16="http://schemas.microsoft.com/office/drawing/2014/chart" uri="{C3380CC4-5D6E-409C-BE32-E72D297353CC}">
              <c16:uniqueId val="{00000003-B602-4714-AE62-7D64768FEFD7}"/>
            </c:ext>
          </c:extLst>
        </c:ser>
        <c:ser>
          <c:idx val="2"/>
          <c:order val="2"/>
          <c:spPr>
            <a:solidFill>
              <a:srgbClr val="F29CA4"/>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Text!$Q$386</c:f>
              <c:numCache>
                <c:formatCode>General</c:formatCode>
                <c:ptCount val="1"/>
                <c:pt idx="0">
                  <c:v>0</c:v>
                </c:pt>
              </c:numCache>
            </c:numRef>
          </c:val>
          <c:extLst>
            <c:ext xmlns:c16="http://schemas.microsoft.com/office/drawing/2014/chart" uri="{C3380CC4-5D6E-409C-BE32-E72D297353CC}">
              <c16:uniqueId val="{00000004-B602-4714-AE62-7D64768FEFD7}"/>
            </c:ext>
          </c:extLst>
        </c:ser>
        <c:ser>
          <c:idx val="3"/>
          <c:order val="3"/>
          <c:spPr>
            <a:solidFill>
              <a:srgbClr val="FFD1D1"/>
            </a:solidFill>
            <a:ln>
              <a:solidFill>
                <a:srgbClr val="E30613"/>
              </a:solidFill>
            </a:ln>
            <a:effectLst/>
          </c:spPr>
          <c:invertIfNegative val="0"/>
          <c:dPt>
            <c:idx val="0"/>
            <c:invertIfNegative val="0"/>
            <c:bubble3D val="0"/>
            <c:spPr>
              <a:solidFill>
                <a:srgbClr val="F29CA4"/>
              </a:solidFill>
              <a:ln>
                <a:solidFill>
                  <a:srgbClr val="E30613"/>
                </a:solidFill>
              </a:ln>
              <a:effectLst/>
            </c:spPr>
            <c:extLst>
              <c:ext xmlns:c16="http://schemas.microsoft.com/office/drawing/2014/chart" uri="{C3380CC4-5D6E-409C-BE32-E72D297353CC}">
                <c16:uniqueId val="{00000004-5DE5-45AB-A553-A9734F7CF660}"/>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Text!$Q$387</c:f>
              <c:numCache>
                <c:formatCode>General</c:formatCode>
                <c:ptCount val="1"/>
                <c:pt idx="0">
                  <c:v>0</c:v>
                </c:pt>
              </c:numCache>
            </c:numRef>
          </c:val>
          <c:extLst>
            <c:ext xmlns:c16="http://schemas.microsoft.com/office/drawing/2014/chart" uri="{C3380CC4-5D6E-409C-BE32-E72D297353CC}">
              <c16:uniqueId val="{00000005-B602-4714-AE62-7D64768FEFD7}"/>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Text!$Q$388</c:f>
              <c:numCache>
                <c:formatCode>General</c:formatCode>
                <c:ptCount val="1"/>
                <c:pt idx="0">
                  <c:v>-0.5</c:v>
                </c:pt>
              </c:numCache>
            </c:numRef>
          </c:val>
          <c:extLst>
            <c:ext xmlns:c16="http://schemas.microsoft.com/office/drawing/2014/chart" uri="{C3380CC4-5D6E-409C-BE32-E72D297353CC}">
              <c16:uniqueId val="{00000006-B602-4714-AE62-7D64768FEFD7}"/>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Text!$Q$389</c:f>
              <c:numCache>
                <c:formatCode>General</c:formatCode>
                <c:ptCount val="1"/>
                <c:pt idx="0">
                  <c:v>-0.15</c:v>
                </c:pt>
              </c:numCache>
            </c:numRef>
          </c:val>
          <c:extLst>
            <c:ext xmlns:c16="http://schemas.microsoft.com/office/drawing/2014/chart" uri="{C3380CC4-5D6E-409C-BE32-E72D297353CC}">
              <c16:uniqueId val="{00000007-B602-4714-AE62-7D64768FEFD7}"/>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Text!$Q$390</c:f>
              <c:numCache>
                <c:formatCode>General</c:formatCode>
                <c:ptCount val="1"/>
                <c:pt idx="0">
                  <c:v>-0.2</c:v>
                </c:pt>
              </c:numCache>
            </c:numRef>
          </c:val>
          <c:extLst>
            <c:ext xmlns:c16="http://schemas.microsoft.com/office/drawing/2014/chart" uri="{C3380CC4-5D6E-409C-BE32-E72D297353CC}">
              <c16:uniqueId val="{00000008-B602-4714-AE62-7D64768FEFD7}"/>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Text!$Q$391</c:f>
              <c:numCache>
                <c:formatCode>General</c:formatCode>
                <c:ptCount val="1"/>
                <c:pt idx="0">
                  <c:v>-0.15</c:v>
                </c:pt>
              </c:numCache>
            </c:numRef>
          </c:val>
          <c:extLst>
            <c:ext xmlns:c16="http://schemas.microsoft.com/office/drawing/2014/chart" uri="{C3380CC4-5D6E-409C-BE32-E72D297353CC}">
              <c16:uniqueId val="{00000009-B602-4714-AE62-7D64768FEFD7}"/>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Text!$W$384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D1D1"/>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0-2E5C-43D1-BBBA-0CB04267EFD9}"/>
            </c:ext>
          </c:extLst>
        </c:ser>
        <c:ser>
          <c:idx val="1"/>
          <c:order val="1"/>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Text!$W$385</c:f>
              <c:numCache>
                <c:formatCode>General</c:formatCode>
                <c:ptCount val="1"/>
                <c:pt idx="0">
                  <c:v>0</c:v>
                </c:pt>
              </c:numCache>
            </c:numRef>
          </c:val>
          <c:extLst>
            <c:ext xmlns:c16="http://schemas.microsoft.com/office/drawing/2014/chart" uri="{C3380CC4-5D6E-409C-BE32-E72D297353CC}">
              <c16:uniqueId val="{00000001-2E5C-43D1-BBBA-0CB04267EFD9}"/>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Text!$W$386</c:f>
              <c:numCache>
                <c:formatCode>General</c:formatCode>
                <c:ptCount val="1"/>
                <c:pt idx="0">
                  <c:v>0</c:v>
                </c:pt>
              </c:numCache>
            </c:numRef>
          </c:val>
          <c:extLst>
            <c:ext xmlns:c16="http://schemas.microsoft.com/office/drawing/2014/chart" uri="{C3380CC4-5D6E-409C-BE32-E72D297353CC}">
              <c16:uniqueId val="{00000002-2E5C-43D1-BBBA-0CB04267EFD9}"/>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Text!$W$387</c:f>
              <c:numCache>
                <c:formatCode>General</c:formatCode>
                <c:ptCount val="1"/>
                <c:pt idx="0">
                  <c:v>0</c:v>
                </c:pt>
              </c:numCache>
            </c:numRef>
          </c:val>
          <c:extLst>
            <c:ext xmlns:c16="http://schemas.microsoft.com/office/drawing/2014/chart" uri="{C3380CC4-5D6E-409C-BE32-E72D297353CC}">
              <c16:uniqueId val="{00000003-2E5C-43D1-BBBA-0CB04267EFD9}"/>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Text!$W$388</c:f>
              <c:numCache>
                <c:formatCode>General</c:formatCode>
                <c:ptCount val="1"/>
                <c:pt idx="0">
                  <c:v>0.5</c:v>
                </c:pt>
              </c:numCache>
            </c:numRef>
          </c:val>
          <c:extLst>
            <c:ext xmlns:c16="http://schemas.microsoft.com/office/drawing/2014/chart" uri="{C3380CC4-5D6E-409C-BE32-E72D297353CC}">
              <c16:uniqueId val="{00000004-2E5C-43D1-BBBA-0CB04267EFD9}"/>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Text!$W$389</c:f>
              <c:numCache>
                <c:formatCode>General</c:formatCode>
                <c:ptCount val="1"/>
                <c:pt idx="0">
                  <c:v>0.15</c:v>
                </c:pt>
              </c:numCache>
            </c:numRef>
          </c:val>
          <c:extLst>
            <c:ext xmlns:c16="http://schemas.microsoft.com/office/drawing/2014/chart" uri="{C3380CC4-5D6E-409C-BE32-E72D297353CC}">
              <c16:uniqueId val="{00000005-2E5C-43D1-BBBA-0CB04267EFD9}"/>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Text!$W$390</c:f>
              <c:numCache>
                <c:formatCode>General</c:formatCode>
                <c:ptCount val="1"/>
                <c:pt idx="0">
                  <c:v>0.2</c:v>
                </c:pt>
              </c:numCache>
            </c:numRef>
          </c:val>
          <c:extLst>
            <c:ext xmlns:c16="http://schemas.microsoft.com/office/drawing/2014/chart" uri="{C3380CC4-5D6E-409C-BE32-E72D297353CC}">
              <c16:uniqueId val="{00000006-2E5C-43D1-BBBA-0CB04267EFD9}"/>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Text!$W$391</c:f>
              <c:numCache>
                <c:formatCode>General</c:formatCode>
                <c:ptCount val="1"/>
                <c:pt idx="0">
                  <c:v>0.15</c:v>
                </c:pt>
              </c:numCache>
            </c:numRef>
          </c:val>
          <c:extLst>
            <c:ext xmlns:c16="http://schemas.microsoft.com/office/drawing/2014/chart" uri="{C3380CC4-5D6E-409C-BE32-E72D297353CC}">
              <c16:uniqueId val="{00000007-2E5C-43D1-BBBA-0CB04267EFD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94D0E8"/>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Text!$R$384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94D0E8"/>
                    </a:solidFill>
                    <a:ln>
                      <a:solidFill>
                        <a:srgbClr val="36B7DA"/>
                      </a:solidFill>
                    </a:ln>
                    <a:effectLst/>
                  </c15:spPr>
                  <c15:invertIfNegative val="0"/>
                  <c15:bubble3D val="0"/>
                </c15:categoryFilterException>
                <c15:categoryFilterException>
                  <c15:sqref>Text!$T$384</c15:sqref>
                  <c15:spPr xmlns:c15="http://schemas.microsoft.com/office/drawing/2012/chart">
                    <a:solidFill>
                      <a:srgbClr val="94D0E8"/>
                    </a:solidFill>
                    <a:ln>
                      <a:solidFill>
                        <a:srgbClr val="36B7DA"/>
                      </a:solidFill>
                    </a:ln>
                    <a:effectLst/>
                  </c15:spPr>
                  <c15:invertIfNegative val="0"/>
                  <c15:bubble3D val="0"/>
                </c15:categoryFilterException>
              </c15:categoryFilterExceptions>
            </c:ext>
            <c:ext xmlns:c16="http://schemas.microsoft.com/office/drawing/2014/chart" uri="{C3380CC4-5D6E-409C-BE32-E72D297353CC}">
              <c16:uniqueId val="{00000000-C832-4C3C-A11A-D3C39BE04708}"/>
            </c:ext>
          </c:extLst>
        </c:ser>
        <c:ser>
          <c:idx val="1"/>
          <c:order val="1"/>
          <c:spPr>
            <a:solidFill>
              <a:srgbClr val="94D0E8"/>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Text!$R$385</c:f>
              <c:numCache>
                <c:formatCode>General</c:formatCode>
                <c:ptCount val="1"/>
                <c:pt idx="0">
                  <c:v>0</c:v>
                </c:pt>
              </c:numCache>
            </c:numRef>
          </c:val>
          <c:extLst>
            <c:ext xmlns:c16="http://schemas.microsoft.com/office/drawing/2014/chart" uri="{C3380CC4-5D6E-409C-BE32-E72D297353CC}">
              <c16:uniqueId val="{00000001-C832-4C3C-A11A-D3C39BE04708}"/>
            </c:ext>
          </c:extLst>
        </c:ser>
        <c:ser>
          <c:idx val="2"/>
          <c:order val="2"/>
          <c:spPr>
            <a:solidFill>
              <a:srgbClr val="94D0E8"/>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Text!$R$386</c:f>
              <c:numCache>
                <c:formatCode>General</c:formatCode>
                <c:ptCount val="1"/>
                <c:pt idx="0">
                  <c:v>0</c:v>
                </c:pt>
              </c:numCache>
            </c:numRef>
          </c:val>
          <c:extLst>
            <c:ext xmlns:c16="http://schemas.microsoft.com/office/drawing/2014/chart" uri="{C3380CC4-5D6E-409C-BE32-E72D297353CC}">
              <c16:uniqueId val="{00000002-C832-4C3C-A11A-D3C39BE04708}"/>
            </c:ext>
          </c:extLst>
        </c:ser>
        <c:ser>
          <c:idx val="3"/>
          <c:order val="3"/>
          <c:spPr>
            <a:solidFill>
              <a:srgbClr val="94D0E8"/>
            </a:solidFill>
            <a:ln>
              <a:solidFill>
                <a:srgbClr val="36B7DA"/>
              </a:solidFill>
            </a:ln>
            <a:effectLst/>
          </c:spPr>
          <c:invertIfNegative val="0"/>
          <c:dPt>
            <c:idx val="0"/>
            <c:invertIfNegative val="0"/>
            <c:bubble3D val="0"/>
            <c:spPr>
              <a:solidFill>
                <a:srgbClr val="94D0E8"/>
              </a:solidFill>
              <a:ln>
                <a:solidFill>
                  <a:srgbClr val="36B7DA"/>
                </a:solidFill>
              </a:ln>
              <a:effectLst/>
            </c:spPr>
            <c:extLst>
              <c:ext xmlns:c16="http://schemas.microsoft.com/office/drawing/2014/chart" uri="{C3380CC4-5D6E-409C-BE32-E72D297353CC}">
                <c16:uniqueId val="{00000006-30E3-4EC2-8669-F35A529B3B24}"/>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Text!$R$387</c:f>
              <c:numCache>
                <c:formatCode>General</c:formatCode>
                <c:ptCount val="1"/>
                <c:pt idx="0">
                  <c:v>0</c:v>
                </c:pt>
              </c:numCache>
            </c:numRef>
          </c:val>
          <c:extLst>
            <c:ext xmlns:c16="http://schemas.microsoft.com/office/drawing/2014/chart" uri="{C3380CC4-5D6E-409C-BE32-E72D297353CC}">
              <c16:uniqueId val="{00000003-C832-4C3C-A11A-D3C39BE04708}"/>
            </c:ext>
          </c:extLst>
        </c:ser>
        <c:ser>
          <c:idx val="4"/>
          <c:order val="4"/>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Text!$R$388</c:f>
              <c:numCache>
                <c:formatCode>General</c:formatCode>
                <c:ptCount val="1"/>
                <c:pt idx="0">
                  <c:v>-0.5</c:v>
                </c:pt>
              </c:numCache>
            </c:numRef>
          </c:val>
          <c:extLst>
            <c:ext xmlns:c16="http://schemas.microsoft.com/office/drawing/2014/chart" uri="{C3380CC4-5D6E-409C-BE32-E72D297353CC}">
              <c16:uniqueId val="{00000004-C832-4C3C-A11A-D3C39BE04708}"/>
            </c:ext>
          </c:extLst>
        </c:ser>
        <c:ser>
          <c:idx val="5"/>
          <c:order val="5"/>
          <c:spPr>
            <a:solidFill>
              <a:sysClr val="window" lastClr="FFFFFF"/>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Text!$R$389</c:f>
              <c:numCache>
                <c:formatCode>General</c:formatCode>
                <c:ptCount val="1"/>
                <c:pt idx="0">
                  <c:v>-0.15</c:v>
                </c:pt>
              </c:numCache>
            </c:numRef>
          </c:val>
          <c:extLst>
            <c:ext xmlns:c16="http://schemas.microsoft.com/office/drawing/2014/chart" uri="{C3380CC4-5D6E-409C-BE32-E72D297353CC}">
              <c16:uniqueId val="{00000005-C832-4C3C-A11A-D3C39BE04708}"/>
            </c:ext>
          </c:extLst>
        </c:ser>
        <c:ser>
          <c:idx val="6"/>
          <c:order val="6"/>
          <c:spPr>
            <a:solidFill>
              <a:sysClr val="window" lastClr="FFFFFF"/>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Text!$R$390</c:f>
              <c:numCache>
                <c:formatCode>General</c:formatCode>
                <c:ptCount val="1"/>
                <c:pt idx="0">
                  <c:v>-0.2</c:v>
                </c:pt>
              </c:numCache>
            </c:numRef>
          </c:val>
          <c:extLst>
            <c:ext xmlns:c16="http://schemas.microsoft.com/office/drawing/2014/chart" uri="{C3380CC4-5D6E-409C-BE32-E72D297353CC}">
              <c16:uniqueId val="{00000006-C832-4C3C-A11A-D3C39BE04708}"/>
            </c:ext>
          </c:extLst>
        </c:ser>
        <c:ser>
          <c:idx val="7"/>
          <c:order val="7"/>
          <c:spPr>
            <a:solidFill>
              <a:sysClr val="window" lastClr="FFFFFF"/>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Text!$R$391</c:f>
              <c:numCache>
                <c:formatCode>General</c:formatCode>
                <c:ptCount val="1"/>
                <c:pt idx="0">
                  <c:v>-0.15</c:v>
                </c:pt>
              </c:numCache>
            </c:numRef>
          </c:val>
          <c:extLst>
            <c:ext xmlns:c16="http://schemas.microsoft.com/office/drawing/2014/chart" uri="{C3380CC4-5D6E-409C-BE32-E72D297353CC}">
              <c16:uniqueId val="{00000007-C832-4C3C-A11A-D3C39BE04708}"/>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36B7DA"/>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2-3263-4A75-8770-16EF1C563EC5}"/>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Text!$X$384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CCE9F4"/>
                    </a:solidFill>
                    <a:ln>
                      <a:solidFill>
                        <a:srgbClr val="5DC4E1"/>
                      </a:solidFill>
                    </a:ln>
                    <a:effectLst/>
                  </c15:spPr>
                  <c15:invertIfNegative val="0"/>
                  <c15:bubble3D val="0"/>
                </c15:categoryFilterException>
              </c15:categoryFilterExceptions>
            </c:ext>
            <c:ext xmlns:c16="http://schemas.microsoft.com/office/drawing/2014/chart" uri="{C3380CC4-5D6E-409C-BE32-E72D297353CC}">
              <c16:uniqueId val="{00000000-46CC-4C73-B248-000F31451EBE}"/>
            </c:ext>
          </c:extLst>
        </c:ser>
        <c:ser>
          <c:idx val="1"/>
          <c:order val="1"/>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3-3263-4A75-8770-16EF1C563EC5}"/>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Text!$X$385</c:f>
              <c:numCache>
                <c:formatCode>General</c:formatCode>
                <c:ptCount val="1"/>
                <c:pt idx="0">
                  <c:v>0</c:v>
                </c:pt>
              </c:numCache>
            </c:numRef>
          </c:val>
          <c:extLst>
            <c:ext xmlns:c16="http://schemas.microsoft.com/office/drawing/2014/chart" uri="{C3380CC4-5D6E-409C-BE32-E72D297353CC}">
              <c16:uniqueId val="{00000001-46CC-4C73-B248-000F31451EBE}"/>
            </c:ext>
          </c:extLst>
        </c:ser>
        <c:ser>
          <c:idx val="2"/>
          <c:order val="2"/>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Text!$X$386</c:f>
              <c:numCache>
                <c:formatCode>General</c:formatCode>
                <c:ptCount val="1"/>
                <c:pt idx="0">
                  <c:v>0</c:v>
                </c:pt>
              </c:numCache>
            </c:numRef>
          </c:val>
          <c:extLst>
            <c:ext xmlns:c16="http://schemas.microsoft.com/office/drawing/2014/chart" uri="{C3380CC4-5D6E-409C-BE32-E72D297353CC}">
              <c16:uniqueId val="{00000002-46CC-4C73-B248-000F31451EBE}"/>
            </c:ext>
          </c:extLst>
        </c:ser>
        <c:ser>
          <c:idx val="3"/>
          <c:order val="3"/>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Text!$X$387</c:f>
              <c:numCache>
                <c:formatCode>General</c:formatCode>
                <c:ptCount val="1"/>
                <c:pt idx="0">
                  <c:v>0</c:v>
                </c:pt>
              </c:numCache>
            </c:numRef>
          </c:val>
          <c:extLst>
            <c:ext xmlns:c16="http://schemas.microsoft.com/office/drawing/2014/chart" uri="{C3380CC4-5D6E-409C-BE32-E72D297353CC}">
              <c16:uniqueId val="{00000003-46CC-4C73-B248-000F31451EBE}"/>
            </c:ext>
          </c:extLst>
        </c:ser>
        <c:ser>
          <c:idx val="4"/>
          <c:order val="4"/>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Text!$X$388</c:f>
              <c:numCache>
                <c:formatCode>General</c:formatCode>
                <c:ptCount val="1"/>
                <c:pt idx="0">
                  <c:v>0.5</c:v>
                </c:pt>
              </c:numCache>
            </c:numRef>
          </c:val>
          <c:extLst>
            <c:ext xmlns:c16="http://schemas.microsoft.com/office/drawing/2014/chart" uri="{C3380CC4-5D6E-409C-BE32-E72D297353CC}">
              <c16:uniqueId val="{00000004-46CC-4C73-B248-000F31451EBE}"/>
            </c:ext>
          </c:extLst>
        </c:ser>
        <c:ser>
          <c:idx val="5"/>
          <c:order val="5"/>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Text!$X$389</c:f>
              <c:numCache>
                <c:formatCode>General</c:formatCode>
                <c:ptCount val="1"/>
                <c:pt idx="0">
                  <c:v>0.15</c:v>
                </c:pt>
              </c:numCache>
            </c:numRef>
          </c:val>
          <c:extLst>
            <c:ext xmlns:c16="http://schemas.microsoft.com/office/drawing/2014/chart" uri="{C3380CC4-5D6E-409C-BE32-E72D297353CC}">
              <c16:uniqueId val="{00000005-46CC-4C73-B248-000F31451EBE}"/>
            </c:ext>
          </c:extLst>
        </c:ser>
        <c:ser>
          <c:idx val="6"/>
          <c:order val="6"/>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Text!$X$390</c:f>
              <c:numCache>
                <c:formatCode>General</c:formatCode>
                <c:ptCount val="1"/>
                <c:pt idx="0">
                  <c:v>0.2</c:v>
                </c:pt>
              </c:numCache>
            </c:numRef>
          </c:val>
          <c:extLst>
            <c:ext xmlns:c16="http://schemas.microsoft.com/office/drawing/2014/chart" uri="{C3380CC4-5D6E-409C-BE32-E72D297353CC}">
              <c16:uniqueId val="{00000006-46CC-4C73-B248-000F31451EBE}"/>
            </c:ext>
          </c:extLst>
        </c:ser>
        <c:ser>
          <c:idx val="7"/>
          <c:order val="7"/>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Text!$X$391</c:f>
              <c:numCache>
                <c:formatCode>General</c:formatCode>
                <c:ptCount val="1"/>
                <c:pt idx="0">
                  <c:v>0.15</c:v>
                </c:pt>
              </c:numCache>
            </c:numRef>
          </c:val>
          <c:extLst>
            <c:ext xmlns:c16="http://schemas.microsoft.com/office/drawing/2014/chart" uri="{C3380CC4-5D6E-409C-BE32-E72D297353CC}">
              <c16:uniqueId val="{00000007-46CC-4C73-B248-000F31451EB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3DEEF"/>
            </a:solidFill>
            <a:ln>
              <a:solidFill>
                <a:srgbClr val="5DC4E1"/>
              </a:solidFill>
            </a:ln>
            <a:effectLst/>
          </c:spPr>
          <c:invertIfNegative val="0"/>
          <c:dPt>
            <c:idx val="1"/>
            <c:invertIfNegative val="0"/>
            <c:bubble3D val="0"/>
            <c:spPr>
              <a:solidFill>
                <a:srgbClr val="B3DEEF"/>
              </a:solidFill>
              <a:ln>
                <a:solidFill>
                  <a:srgbClr val="5DC4E1"/>
                </a:solidFill>
              </a:ln>
              <a:effectLst/>
            </c:spPr>
            <c:extLst>
              <c:ext xmlns:c16="http://schemas.microsoft.com/office/drawing/2014/chart" uri="{C3380CC4-5D6E-409C-BE32-E72D297353CC}">
                <c16:uniqueId val="{00000000-8956-4259-BE3D-67D1F13D718D}"/>
              </c:ext>
            </c:extLst>
          </c:dPt>
          <c:val>
            <c:numRef>
              <c:f>Text!$Q$350:$S$350</c:f>
              <c:numCache>
                <c:formatCode>0.00</c:formatCode>
                <c:ptCount val="3"/>
                <c:pt idx="0">
                  <c:v>0</c:v>
                </c:pt>
                <c:pt idx="1">
                  <c:v>0</c:v>
                </c:pt>
                <c:pt idx="2">
                  <c:v>0</c:v>
                </c:pt>
              </c:numCache>
            </c:numRef>
          </c:val>
          <c:extLst>
            <c:ext xmlns:c16="http://schemas.microsoft.com/office/drawing/2014/chart" uri="{C3380CC4-5D6E-409C-BE32-E72D297353CC}">
              <c16:uniqueId val="{00000000-3E0C-4B47-8446-253AFC888C42}"/>
            </c:ext>
          </c:extLst>
        </c:ser>
        <c:ser>
          <c:idx val="1"/>
          <c:order val="1"/>
          <c:spPr>
            <a:solidFill>
              <a:srgbClr val="B3DEEF"/>
            </a:solidFill>
            <a:ln>
              <a:solidFill>
                <a:srgbClr val="5DC4E1"/>
              </a:solidFill>
            </a:ln>
            <a:effectLst/>
          </c:spPr>
          <c:invertIfNegative val="0"/>
          <c:val>
            <c:numRef>
              <c:f>Text!$Q$351:$S$351</c:f>
              <c:numCache>
                <c:formatCode>0.00</c:formatCode>
                <c:ptCount val="3"/>
                <c:pt idx="0">
                  <c:v>0</c:v>
                </c:pt>
                <c:pt idx="1">
                  <c:v>0</c:v>
                </c:pt>
                <c:pt idx="2">
                  <c:v>0</c:v>
                </c:pt>
              </c:numCache>
            </c:numRef>
          </c:val>
          <c:extLst>
            <c:ext xmlns:c16="http://schemas.microsoft.com/office/drawing/2014/chart" uri="{C3380CC4-5D6E-409C-BE32-E72D297353CC}">
              <c16:uniqueId val="{00000001-3E0C-4B47-8446-253AFC888C42}"/>
            </c:ext>
          </c:extLst>
        </c:ser>
        <c:ser>
          <c:idx val="2"/>
          <c:order val="2"/>
          <c:spPr>
            <a:solidFill>
              <a:srgbClr val="B3DEEF"/>
            </a:solidFill>
            <a:ln>
              <a:solidFill>
                <a:srgbClr val="5DC4E1"/>
              </a:solidFill>
            </a:ln>
            <a:effectLst/>
          </c:spPr>
          <c:invertIfNegative val="0"/>
          <c:val>
            <c:numRef>
              <c:f>Text!$Q$352:$S$352</c:f>
              <c:numCache>
                <c:formatCode>0.00</c:formatCode>
                <c:ptCount val="3"/>
                <c:pt idx="0">
                  <c:v>0</c:v>
                </c:pt>
                <c:pt idx="1">
                  <c:v>0</c:v>
                </c:pt>
                <c:pt idx="2">
                  <c:v>0</c:v>
                </c:pt>
              </c:numCache>
            </c:numRef>
          </c:val>
          <c:extLst>
            <c:ext xmlns:c16="http://schemas.microsoft.com/office/drawing/2014/chart" uri="{C3380CC4-5D6E-409C-BE32-E72D297353CC}">
              <c16:uniqueId val="{00000002-3E0C-4B47-8446-253AFC888C42}"/>
            </c:ext>
          </c:extLst>
        </c:ser>
        <c:ser>
          <c:idx val="3"/>
          <c:order val="3"/>
          <c:spPr>
            <a:solidFill>
              <a:srgbClr val="B3DEEF"/>
            </a:solidFill>
            <a:ln>
              <a:solidFill>
                <a:srgbClr val="5DC4E1"/>
              </a:solidFill>
            </a:ln>
            <a:effectLst/>
          </c:spPr>
          <c:invertIfNegative val="0"/>
          <c:val>
            <c:numRef>
              <c:f>Text!$Q$353:$S$353</c:f>
              <c:numCache>
                <c:formatCode>0.00</c:formatCode>
                <c:ptCount val="3"/>
                <c:pt idx="0">
                  <c:v>0</c:v>
                </c:pt>
                <c:pt idx="1">
                  <c:v>0</c:v>
                </c:pt>
                <c:pt idx="2">
                  <c:v>0</c:v>
                </c:pt>
              </c:numCache>
            </c:numRef>
          </c:val>
          <c:extLst>
            <c:ext xmlns:c16="http://schemas.microsoft.com/office/drawing/2014/chart" uri="{C3380CC4-5D6E-409C-BE32-E72D297353CC}">
              <c16:uniqueId val="{00000003-3E0C-4B47-8446-253AFC888C42}"/>
            </c:ext>
          </c:extLst>
        </c:ser>
        <c:ser>
          <c:idx val="5"/>
          <c:order val="4"/>
          <c:spPr>
            <a:solidFill>
              <a:sysClr val="window" lastClr="FFFFFF"/>
            </a:solidFill>
            <a:ln>
              <a:solidFill>
                <a:srgbClr val="5DC4E1"/>
              </a:solidFill>
            </a:ln>
            <a:effectLst/>
          </c:spPr>
          <c:invertIfNegative val="0"/>
          <c:dPt>
            <c:idx val="2"/>
            <c:invertIfNegative val="0"/>
            <c:bubble3D val="0"/>
            <c:spPr>
              <a:solidFill>
                <a:sysClr val="window" lastClr="FFFFFF"/>
              </a:solidFill>
              <a:ln>
                <a:solidFill>
                  <a:srgbClr val="5DC4E1"/>
                </a:solidFill>
              </a:ln>
              <a:effectLst/>
            </c:spPr>
            <c:extLst>
              <c:ext xmlns:c16="http://schemas.microsoft.com/office/drawing/2014/chart" uri="{C3380CC4-5D6E-409C-BE32-E72D297353CC}">
                <c16:uniqueId val="{00000005-C503-471B-ADB2-33693BF1C9C5}"/>
              </c:ext>
            </c:extLst>
          </c:dPt>
          <c:val>
            <c:numRef>
              <c:f>Text!$Q$355:$S$355</c:f>
              <c:numCache>
                <c:formatCode>0.00</c:formatCode>
                <c:ptCount val="3"/>
                <c:pt idx="0">
                  <c:v>-0.5</c:v>
                </c:pt>
                <c:pt idx="1">
                  <c:v>-0.5</c:v>
                </c:pt>
                <c:pt idx="2">
                  <c:v>-0.5</c:v>
                </c:pt>
              </c:numCache>
            </c:numRef>
          </c:val>
          <c:extLst>
            <c:ext xmlns:c16="http://schemas.microsoft.com/office/drawing/2014/chart" uri="{C3380CC4-5D6E-409C-BE32-E72D297353CC}">
              <c16:uniqueId val="{00000004-3E0C-4B47-8446-253AFC888C42}"/>
            </c:ext>
          </c:extLst>
        </c:ser>
        <c:ser>
          <c:idx val="6"/>
          <c:order val="5"/>
          <c:spPr>
            <a:solidFill>
              <a:sysClr val="window" lastClr="FFFFFF"/>
            </a:solidFill>
            <a:ln>
              <a:solidFill>
                <a:srgbClr val="5DC4E1"/>
              </a:solidFill>
            </a:ln>
            <a:effectLst/>
          </c:spPr>
          <c:invertIfNegative val="0"/>
          <c:val>
            <c:numRef>
              <c:f>Text!$Q$356:$S$356</c:f>
              <c:numCache>
                <c:formatCode>0.00</c:formatCode>
                <c:ptCount val="3"/>
                <c:pt idx="0">
                  <c:v>-0.15</c:v>
                </c:pt>
                <c:pt idx="1">
                  <c:v>-0.15</c:v>
                </c:pt>
                <c:pt idx="2">
                  <c:v>-0.15</c:v>
                </c:pt>
              </c:numCache>
            </c:numRef>
          </c:val>
          <c:extLst>
            <c:ext xmlns:c16="http://schemas.microsoft.com/office/drawing/2014/chart" uri="{C3380CC4-5D6E-409C-BE32-E72D297353CC}">
              <c16:uniqueId val="{00000005-3E0C-4B47-8446-253AFC888C42}"/>
            </c:ext>
          </c:extLst>
        </c:ser>
        <c:ser>
          <c:idx val="7"/>
          <c:order val="6"/>
          <c:spPr>
            <a:solidFill>
              <a:sysClr val="window" lastClr="FFFFFF"/>
            </a:solidFill>
            <a:ln>
              <a:solidFill>
                <a:srgbClr val="5DC4E1"/>
              </a:solidFill>
            </a:ln>
            <a:effectLst/>
          </c:spPr>
          <c:invertIfNegative val="0"/>
          <c:val>
            <c:numRef>
              <c:f>Text!$Q$357:$S$357</c:f>
              <c:numCache>
                <c:formatCode>0.00</c:formatCode>
                <c:ptCount val="3"/>
                <c:pt idx="0">
                  <c:v>-0.2</c:v>
                </c:pt>
                <c:pt idx="1">
                  <c:v>-0.2</c:v>
                </c:pt>
                <c:pt idx="2">
                  <c:v>-0.2</c:v>
                </c:pt>
              </c:numCache>
            </c:numRef>
          </c:val>
          <c:extLst>
            <c:ext xmlns:c16="http://schemas.microsoft.com/office/drawing/2014/chart" uri="{C3380CC4-5D6E-409C-BE32-E72D297353CC}">
              <c16:uniqueId val="{00000006-3E0C-4B47-8446-253AFC888C42}"/>
            </c:ext>
          </c:extLst>
        </c:ser>
        <c:ser>
          <c:idx val="8"/>
          <c:order val="7"/>
          <c:spPr>
            <a:solidFill>
              <a:sysClr val="window" lastClr="FFFFFF"/>
            </a:solidFill>
            <a:ln>
              <a:solidFill>
                <a:srgbClr val="5DC4E1"/>
              </a:solidFill>
            </a:ln>
            <a:effectLst/>
          </c:spPr>
          <c:invertIfNegative val="0"/>
          <c:val>
            <c:numRef>
              <c:f>Text!$Q$358:$S$358</c:f>
              <c:numCache>
                <c:formatCode>0.00</c:formatCode>
                <c:ptCount val="3"/>
                <c:pt idx="0">
                  <c:v>-0.15</c:v>
                </c:pt>
                <c:pt idx="1">
                  <c:v>-0.15</c:v>
                </c:pt>
                <c:pt idx="2">
                  <c:v>-0.15</c:v>
                </c:pt>
              </c:numCache>
            </c:numRef>
          </c:val>
          <c:extLst>
            <c:ext xmlns:c16="http://schemas.microsoft.com/office/drawing/2014/chart" uri="{C3380CC4-5D6E-409C-BE32-E72D297353CC}">
              <c16:uniqueId val="{00000007-3E0C-4B47-8446-253AFC888C42}"/>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CCE9F4"/>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Text!$W$350:$Y$350</c15:sqref>
                  </c15:fullRef>
                </c:ext>
              </c:extLst>
              <c:f>Text!$X$350:$Y$350</c:f>
              <c:numCache>
                <c:formatCode>0.00</c:formatCode>
                <c:ptCount val="2"/>
                <c:pt idx="0">
                  <c:v>0</c:v>
                </c:pt>
                <c:pt idx="1">
                  <c:v>0</c:v>
                </c:pt>
              </c:numCache>
            </c:numRef>
          </c:val>
          <c:extLst>
            <c:ext xmlns:c16="http://schemas.microsoft.com/office/drawing/2014/chart" uri="{C3380CC4-5D6E-409C-BE32-E72D297353CC}">
              <c16:uniqueId val="{00000000-8C5F-4111-8B8F-5AC790DF9D56}"/>
            </c:ext>
          </c:extLst>
        </c:ser>
        <c:ser>
          <c:idx val="1"/>
          <c:order val="1"/>
          <c:spPr>
            <a:solidFill>
              <a:srgbClr val="E6F4FA"/>
            </a:solidFill>
            <a:ln>
              <a:solidFill>
                <a:srgbClr val="5DC4E1"/>
              </a:solidFill>
            </a:ln>
            <a:effectLst/>
          </c:spPr>
          <c:invertIfNegative val="0"/>
          <c:dPt>
            <c:idx val="0"/>
            <c:invertIfNegative val="0"/>
            <c:bubble3D val="0"/>
            <c:spPr>
              <a:solidFill>
                <a:srgbClr val="CCE9F4"/>
              </a:solidFill>
              <a:ln>
                <a:solidFill>
                  <a:srgbClr val="5DC4E1"/>
                </a:solidFill>
              </a:ln>
              <a:effectLst/>
            </c:spPr>
            <c:extLst>
              <c:ext xmlns:c16="http://schemas.microsoft.com/office/drawing/2014/chart" uri="{C3380CC4-5D6E-409C-BE32-E72D297353CC}">
                <c16:uniqueId val="{00000002-09EB-4CE2-B811-FF7BD2163515}"/>
              </c:ext>
            </c:extLst>
          </c:dPt>
          <c:dPt>
            <c:idx val="1"/>
            <c:invertIfNegative val="0"/>
            <c:bubble3D val="0"/>
            <c:spPr>
              <a:solidFill>
                <a:srgbClr val="CCE9F4"/>
              </a:solidFill>
              <a:ln>
                <a:solidFill>
                  <a:srgbClr val="5DC4E1"/>
                </a:solidFill>
              </a:ln>
              <a:effectLst/>
            </c:spPr>
            <c:extLst>
              <c:ext xmlns:c16="http://schemas.microsoft.com/office/drawing/2014/chart" uri="{C3380CC4-5D6E-409C-BE32-E72D297353CC}">
                <c16:uniqueId val="{00000001-09EB-4CE2-B811-FF7BD2163515}"/>
              </c:ext>
            </c:extLst>
          </c:dPt>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Text!$W$351:$Y$351</c15:sqref>
                  </c15:fullRef>
                </c:ext>
              </c:extLst>
              <c:f>Text!$X$351:$Y$351</c:f>
              <c:numCache>
                <c:formatCode>0.00</c:formatCode>
                <c:ptCount val="2"/>
                <c:pt idx="0">
                  <c:v>0</c:v>
                </c:pt>
                <c:pt idx="1">
                  <c:v>0</c:v>
                </c:pt>
              </c:numCache>
            </c:numRef>
          </c:val>
          <c:extLst>
            <c:ext xmlns:c16="http://schemas.microsoft.com/office/drawing/2014/chart" uri="{C3380CC4-5D6E-409C-BE32-E72D297353CC}">
              <c16:uniqueId val="{00000001-8C5F-4111-8B8F-5AC790DF9D56}"/>
            </c:ext>
          </c:extLst>
        </c:ser>
        <c:ser>
          <c:idx val="2"/>
          <c:order val="2"/>
          <c:spPr>
            <a:solidFill>
              <a:srgbClr val="E6F4FA"/>
            </a:solidFill>
            <a:ln>
              <a:solidFill>
                <a:srgbClr val="5DC4E1"/>
              </a:solidFill>
            </a:ln>
            <a:effectLst/>
          </c:spPr>
          <c:invertIfNegative val="0"/>
          <c:dPt>
            <c:idx val="0"/>
            <c:invertIfNegative val="0"/>
            <c:bubble3D val="0"/>
            <c:spPr>
              <a:solidFill>
                <a:srgbClr val="CCE9F4"/>
              </a:solidFill>
              <a:ln>
                <a:solidFill>
                  <a:srgbClr val="5DC4E1"/>
                </a:solidFill>
              </a:ln>
              <a:effectLst/>
            </c:spPr>
            <c:extLst>
              <c:ext xmlns:c16="http://schemas.microsoft.com/office/drawing/2014/chart" uri="{C3380CC4-5D6E-409C-BE32-E72D297353CC}">
                <c16:uniqueId val="{00000004-09EB-4CE2-B811-FF7BD2163515}"/>
              </c:ext>
            </c:extLst>
          </c:dPt>
          <c:dPt>
            <c:idx val="1"/>
            <c:invertIfNegative val="0"/>
            <c:bubble3D val="0"/>
            <c:spPr>
              <a:solidFill>
                <a:srgbClr val="CCE9F4"/>
              </a:solidFill>
              <a:ln>
                <a:solidFill>
                  <a:srgbClr val="5DC4E1"/>
                </a:solidFill>
              </a:ln>
              <a:effectLst/>
            </c:spPr>
            <c:extLst>
              <c:ext xmlns:c16="http://schemas.microsoft.com/office/drawing/2014/chart" uri="{C3380CC4-5D6E-409C-BE32-E72D297353CC}">
                <c16:uniqueId val="{00000003-09EB-4CE2-B811-FF7BD2163515}"/>
              </c:ext>
            </c:extLst>
          </c:dPt>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Text!$W$352:$Y$352</c15:sqref>
                  </c15:fullRef>
                </c:ext>
              </c:extLst>
              <c:f>Text!$X$352:$Y$352</c:f>
              <c:numCache>
                <c:formatCode>0.00</c:formatCode>
                <c:ptCount val="2"/>
                <c:pt idx="0">
                  <c:v>0</c:v>
                </c:pt>
                <c:pt idx="1">
                  <c:v>0</c:v>
                </c:pt>
              </c:numCache>
            </c:numRef>
          </c:val>
          <c:extLst>
            <c:ext xmlns:c16="http://schemas.microsoft.com/office/drawing/2014/chart" uri="{C3380CC4-5D6E-409C-BE32-E72D297353CC}">
              <c16:uniqueId val="{00000002-8C5F-4111-8B8F-5AC790DF9D56}"/>
            </c:ext>
          </c:extLst>
        </c:ser>
        <c:ser>
          <c:idx val="3"/>
          <c:order val="3"/>
          <c:spPr>
            <a:solidFill>
              <a:srgbClr val="CCE9F4"/>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Text!$W$353:$Y$353</c15:sqref>
                  </c15:fullRef>
                </c:ext>
              </c:extLst>
              <c:f>Text!$X$353:$Y$353</c:f>
              <c:numCache>
                <c:formatCode>0.00</c:formatCode>
                <c:ptCount val="2"/>
                <c:pt idx="0">
                  <c:v>0</c:v>
                </c:pt>
                <c:pt idx="1">
                  <c:v>0</c:v>
                </c:pt>
              </c:numCache>
            </c:numRef>
          </c:val>
          <c:extLst>
            <c:ext xmlns:c16="http://schemas.microsoft.com/office/drawing/2014/chart" uri="{C3380CC4-5D6E-409C-BE32-E72D297353CC}">
              <c16:uniqueId val="{00000003-8C5F-4111-8B8F-5AC790DF9D56}"/>
            </c:ext>
          </c:extLst>
        </c:ser>
        <c:ser>
          <c:idx val="4"/>
          <c:order val="4"/>
          <c:spPr>
            <a:solidFill>
              <a:sysClr val="window" lastClr="FFFFFF"/>
            </a:solidFill>
            <a:ln>
              <a:noFill/>
            </a:ln>
            <a:effectLst/>
          </c:spPr>
          <c:invertIfNegative val="0"/>
          <c:dPt>
            <c:idx val="1"/>
            <c:invertIfNegative val="0"/>
            <c:bubble3D val="0"/>
            <c:spPr>
              <a:solidFill>
                <a:sysClr val="window" lastClr="FFFFFF"/>
              </a:solidFill>
              <a:ln>
                <a:noFill/>
              </a:ln>
              <a:effectLst/>
            </c:spPr>
            <c:extLst>
              <c:ext xmlns:c16="http://schemas.microsoft.com/office/drawing/2014/chart" uri="{C3380CC4-5D6E-409C-BE32-E72D297353CC}">
                <c16:uniqueId val="{00000005-09EB-4CE2-B811-FF7BD2163515}"/>
              </c:ext>
            </c:extLst>
          </c:dPt>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Text!$W$355:$Y$355</c15:sqref>
                  </c15:fullRef>
                </c:ext>
              </c:extLst>
              <c:f>Text!$X$355:$Y$355</c:f>
              <c:numCache>
                <c:formatCode>0.00</c:formatCode>
                <c:ptCount val="2"/>
                <c:pt idx="0">
                  <c:v>0.5</c:v>
                </c:pt>
                <c:pt idx="1">
                  <c:v>0.5</c:v>
                </c:pt>
              </c:numCache>
            </c:numRef>
          </c:val>
          <c:extLst>
            <c:ext xmlns:c16="http://schemas.microsoft.com/office/drawing/2014/chart" uri="{C3380CC4-5D6E-409C-BE32-E72D297353CC}">
              <c16:uniqueId val="{00000004-8C5F-4111-8B8F-5AC790DF9D56}"/>
            </c:ext>
          </c:extLst>
        </c:ser>
        <c:ser>
          <c:idx val="5"/>
          <c:order val="5"/>
          <c:spPr>
            <a:solidFill>
              <a:sysClr val="window" lastClr="FFFFFF"/>
            </a:solidFill>
            <a:ln>
              <a:no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Text!$W$356:$Y$356</c15:sqref>
                  </c15:fullRef>
                </c:ext>
              </c:extLst>
              <c:f>Text!$X$356:$Y$356</c:f>
              <c:numCache>
                <c:formatCode>0.00</c:formatCode>
                <c:ptCount val="2"/>
                <c:pt idx="0">
                  <c:v>0.15</c:v>
                </c:pt>
                <c:pt idx="1">
                  <c:v>0.15</c:v>
                </c:pt>
              </c:numCache>
            </c:numRef>
          </c:val>
          <c:extLst>
            <c:ext xmlns:c16="http://schemas.microsoft.com/office/drawing/2014/chart" uri="{C3380CC4-5D6E-409C-BE32-E72D297353CC}">
              <c16:uniqueId val="{00000005-8C5F-4111-8B8F-5AC790DF9D56}"/>
            </c:ext>
          </c:extLst>
        </c:ser>
        <c:ser>
          <c:idx val="6"/>
          <c:order val="6"/>
          <c:spPr>
            <a:solidFill>
              <a:sysClr val="window" lastClr="FFFFFF"/>
            </a:solidFill>
            <a:ln>
              <a:no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Text!$W$357:$Y$357</c15:sqref>
                  </c15:fullRef>
                </c:ext>
              </c:extLst>
              <c:f>Text!$X$357:$Y$357</c:f>
              <c:numCache>
                <c:formatCode>0.00</c:formatCode>
                <c:ptCount val="2"/>
                <c:pt idx="0">
                  <c:v>0.2</c:v>
                </c:pt>
                <c:pt idx="1">
                  <c:v>0.2</c:v>
                </c:pt>
              </c:numCache>
            </c:numRef>
          </c:val>
          <c:extLst>
            <c:ext xmlns:c16="http://schemas.microsoft.com/office/drawing/2014/chart" uri="{C3380CC4-5D6E-409C-BE32-E72D297353CC}">
              <c16:uniqueId val="{00000006-8C5F-4111-8B8F-5AC790DF9D56}"/>
            </c:ext>
          </c:extLst>
        </c:ser>
        <c:ser>
          <c:idx val="7"/>
          <c:order val="7"/>
          <c:spPr>
            <a:solidFill>
              <a:sysClr val="window" lastClr="FFFFFF"/>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Text!$W$358:$Y$358</c15:sqref>
                  </c15:fullRef>
                </c:ext>
              </c:extLst>
              <c:f>Text!$X$358:$Y$358</c:f>
              <c:numCache>
                <c:formatCode>0.00</c:formatCode>
                <c:ptCount val="2"/>
                <c:pt idx="0">
                  <c:v>0.15</c:v>
                </c:pt>
                <c:pt idx="1">
                  <c:v>0.15</c:v>
                </c:pt>
              </c:numCache>
            </c:numRef>
          </c:val>
          <c:extLst>
            <c:ext xmlns:c15="http://schemas.microsoft.com/office/drawing/2012/chart" uri="{02D57815-91ED-43cb-92C2-25804820EDAC}">
              <c15:categoryFilterExceptions>
                <c15:categoryFilterException>
                  <c15:sqref>Text!$W$358</c15:sqref>
                  <c15:spPr xmlns:c15="http://schemas.microsoft.com/office/drawing/2012/chart">
                    <a:solidFill>
                      <a:sysClr val="window" lastClr="FFFFFF"/>
                    </a:solidFill>
                    <a:ln>
                      <a:noFill/>
                    </a:ln>
                    <a:effectLst/>
                  </c15:spPr>
                </c15:categoryFilterException>
              </c15:categoryFilterExceptions>
            </c:ext>
            <c:ext xmlns:c16="http://schemas.microsoft.com/office/drawing/2014/chart" uri="{C3380CC4-5D6E-409C-BE32-E72D297353CC}">
              <c16:uniqueId val="{00000007-8C5F-4111-8B8F-5AC790DF9D56}"/>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6D383"/>
            </a:solidFill>
            <a:ln>
              <a:solidFill>
                <a:srgbClr val="76B729"/>
              </a:solidFill>
            </a:ln>
            <a:effectLst/>
          </c:spPr>
          <c:invertIfNegative val="0"/>
          <c:dPt>
            <c:idx val="0"/>
            <c:invertIfNegative val="0"/>
            <c:bubble3D val="0"/>
            <c:spPr>
              <a:solidFill>
                <a:srgbClr val="B6D383"/>
              </a:solidFill>
              <a:ln>
                <a:solidFill>
                  <a:srgbClr val="76B729"/>
                </a:solidFill>
              </a:ln>
              <a:effectLst/>
            </c:spPr>
            <c:extLst>
              <c:ext xmlns:c16="http://schemas.microsoft.com/office/drawing/2014/chart" uri="{C3380CC4-5D6E-409C-BE32-E72D297353CC}">
                <c16:uniqueId val="{00000004-853B-438B-A925-679B3920D13C}"/>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Text!$S$384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B6D383"/>
                    </a:solidFill>
                    <a:ln>
                      <a:solidFill>
                        <a:srgbClr val="76B729"/>
                      </a:solidFill>
                    </a:ln>
                    <a:effectLst/>
                  </c15:spPr>
                  <c15:invertIfNegative val="0"/>
                  <c15:bubble3D val="0"/>
                </c15:categoryFilterException>
                <c15:categoryFilterException>
                  <c15:sqref>Text!$T$384</c15:sqref>
                  <c15:spPr xmlns:c15="http://schemas.microsoft.com/office/drawing/2012/chart">
                    <a:solidFill>
                      <a:srgbClr val="B6D383"/>
                    </a:solidFill>
                    <a:ln>
                      <a:solidFill>
                        <a:srgbClr val="76B729"/>
                      </a:solidFill>
                    </a:ln>
                    <a:effectLst/>
                  </c15:spPr>
                  <c15:invertIfNegative val="0"/>
                  <c15:bubble3D val="0"/>
                </c15:categoryFilterException>
              </c15:categoryFilterExceptions>
            </c:ext>
            <c:ext xmlns:c16="http://schemas.microsoft.com/office/drawing/2014/chart" uri="{C3380CC4-5D6E-409C-BE32-E72D297353CC}">
              <c16:uniqueId val="{00000000-9C2A-4860-8F7C-DC3E0FDCCE40}"/>
            </c:ext>
          </c:extLst>
        </c:ser>
        <c:ser>
          <c:idx val="1"/>
          <c:order val="1"/>
          <c:spPr>
            <a:solidFill>
              <a:srgbClr val="B6D383"/>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Text!$S$385</c:f>
              <c:numCache>
                <c:formatCode>General</c:formatCode>
                <c:ptCount val="1"/>
                <c:pt idx="0">
                  <c:v>0</c:v>
                </c:pt>
              </c:numCache>
            </c:numRef>
          </c:val>
          <c:extLst>
            <c:ext xmlns:c16="http://schemas.microsoft.com/office/drawing/2014/chart" uri="{C3380CC4-5D6E-409C-BE32-E72D297353CC}">
              <c16:uniqueId val="{00000001-9C2A-4860-8F7C-DC3E0FDCCE40}"/>
            </c:ext>
          </c:extLst>
        </c:ser>
        <c:ser>
          <c:idx val="2"/>
          <c:order val="2"/>
          <c:spPr>
            <a:solidFill>
              <a:srgbClr val="B6D383"/>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Text!$S$386</c:f>
              <c:numCache>
                <c:formatCode>General</c:formatCode>
                <c:ptCount val="1"/>
                <c:pt idx="0">
                  <c:v>0</c:v>
                </c:pt>
              </c:numCache>
            </c:numRef>
          </c:val>
          <c:extLst>
            <c:ext xmlns:c16="http://schemas.microsoft.com/office/drawing/2014/chart" uri="{C3380CC4-5D6E-409C-BE32-E72D297353CC}">
              <c16:uniqueId val="{00000002-9C2A-4860-8F7C-DC3E0FDCCE40}"/>
            </c:ext>
          </c:extLst>
        </c:ser>
        <c:ser>
          <c:idx val="3"/>
          <c:order val="3"/>
          <c:spPr>
            <a:solidFill>
              <a:srgbClr val="B6D383"/>
            </a:solidFill>
            <a:ln>
              <a:solidFill>
                <a:srgbClr val="76B729"/>
              </a:solidFill>
            </a:ln>
            <a:effectLst/>
          </c:spPr>
          <c:invertIfNegative val="0"/>
          <c:dPt>
            <c:idx val="0"/>
            <c:invertIfNegative val="0"/>
            <c:bubble3D val="0"/>
            <c:spPr>
              <a:solidFill>
                <a:srgbClr val="B6D383"/>
              </a:solidFill>
              <a:ln>
                <a:solidFill>
                  <a:srgbClr val="76B729"/>
                </a:solidFill>
              </a:ln>
              <a:effectLst/>
            </c:spPr>
            <c:extLst>
              <c:ext xmlns:c16="http://schemas.microsoft.com/office/drawing/2014/chart" uri="{C3380CC4-5D6E-409C-BE32-E72D297353CC}">
                <c16:uniqueId val="{00000005-853B-438B-A925-679B3920D13C}"/>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Text!$S$387</c:f>
              <c:numCache>
                <c:formatCode>General</c:formatCode>
                <c:ptCount val="1"/>
                <c:pt idx="0">
                  <c:v>0</c:v>
                </c:pt>
              </c:numCache>
            </c:numRef>
          </c:val>
          <c:extLst>
            <c:ext xmlns:c16="http://schemas.microsoft.com/office/drawing/2014/chart" uri="{C3380CC4-5D6E-409C-BE32-E72D297353CC}">
              <c16:uniqueId val="{00000003-9C2A-4860-8F7C-DC3E0FDCCE40}"/>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Text!$S$388</c:f>
              <c:numCache>
                <c:formatCode>General</c:formatCode>
                <c:ptCount val="1"/>
                <c:pt idx="0">
                  <c:v>-0.5</c:v>
                </c:pt>
              </c:numCache>
            </c:numRef>
          </c:val>
          <c:extLst>
            <c:ext xmlns:c16="http://schemas.microsoft.com/office/drawing/2014/chart" uri="{C3380CC4-5D6E-409C-BE32-E72D297353CC}">
              <c16:uniqueId val="{00000004-9C2A-4860-8F7C-DC3E0FDCCE40}"/>
            </c:ext>
          </c:extLst>
        </c:ser>
        <c:ser>
          <c:idx val="5"/>
          <c:order val="5"/>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Text!$S$389</c:f>
              <c:numCache>
                <c:formatCode>General</c:formatCode>
                <c:ptCount val="1"/>
                <c:pt idx="0">
                  <c:v>-0.15</c:v>
                </c:pt>
              </c:numCache>
            </c:numRef>
          </c:val>
          <c:extLst>
            <c:ext xmlns:c16="http://schemas.microsoft.com/office/drawing/2014/chart" uri="{C3380CC4-5D6E-409C-BE32-E72D297353CC}">
              <c16:uniqueId val="{00000005-9C2A-4860-8F7C-DC3E0FDCCE40}"/>
            </c:ext>
          </c:extLst>
        </c:ser>
        <c:ser>
          <c:idx val="6"/>
          <c:order val="6"/>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Text!$S$390</c:f>
              <c:numCache>
                <c:formatCode>General</c:formatCode>
                <c:ptCount val="1"/>
                <c:pt idx="0">
                  <c:v>-0.2</c:v>
                </c:pt>
              </c:numCache>
            </c:numRef>
          </c:val>
          <c:extLst>
            <c:ext xmlns:c16="http://schemas.microsoft.com/office/drawing/2014/chart" uri="{C3380CC4-5D6E-409C-BE32-E72D297353CC}">
              <c16:uniqueId val="{00000006-9C2A-4860-8F7C-DC3E0FDCCE40}"/>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Text!$S$391</c:f>
              <c:numCache>
                <c:formatCode>General</c:formatCode>
                <c:ptCount val="1"/>
                <c:pt idx="0">
                  <c:v>-0.15</c:v>
                </c:pt>
              </c:numCache>
            </c:numRef>
          </c:val>
          <c:extLst>
            <c:ext xmlns:c16="http://schemas.microsoft.com/office/drawing/2014/chart" uri="{C3380CC4-5D6E-409C-BE32-E72D297353CC}">
              <c16:uniqueId val="{00000007-9C2A-4860-8F7C-DC3E0FDCCE4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4-8F13-4E44-8A48-FA8888F9FB92}"/>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Text!$Y$384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C000">
                        <a:lumMod val="20000"/>
                        <a:lumOff val="80000"/>
                      </a:srgbClr>
                    </a:solidFill>
                    <a:ln>
                      <a:solidFill>
                        <a:srgbClr val="FFC000">
                          <a:lumMod val="75000"/>
                        </a:srgbClr>
                      </a:solidFill>
                    </a:ln>
                    <a:effectLst/>
                  </c15:spPr>
                  <c15:invertIfNegative val="0"/>
                  <c15:bubble3D val="0"/>
                </c15:categoryFilterException>
              </c15:categoryFilterExceptions>
            </c:ext>
            <c:ext xmlns:c16="http://schemas.microsoft.com/office/drawing/2014/chart" uri="{C3380CC4-5D6E-409C-BE32-E72D297353CC}">
              <c16:uniqueId val="{00000000-4ADC-4DAC-BB04-DA20FDE4E99E}"/>
            </c:ext>
          </c:extLst>
        </c:ser>
        <c:ser>
          <c:idx val="1"/>
          <c:order val="1"/>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5-8F13-4E44-8A48-FA8888F9FB92}"/>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Text!$Y$385</c:f>
              <c:numCache>
                <c:formatCode>General</c:formatCode>
                <c:ptCount val="1"/>
                <c:pt idx="0">
                  <c:v>0</c:v>
                </c:pt>
              </c:numCache>
            </c:numRef>
          </c:val>
          <c:extLst>
            <c:ext xmlns:c16="http://schemas.microsoft.com/office/drawing/2014/chart" uri="{C3380CC4-5D6E-409C-BE32-E72D297353CC}">
              <c16:uniqueId val="{00000001-4ADC-4DAC-BB04-DA20FDE4E99E}"/>
            </c:ext>
          </c:extLst>
        </c:ser>
        <c:ser>
          <c:idx val="2"/>
          <c:order val="2"/>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Text!$Y$386</c:f>
              <c:numCache>
                <c:formatCode>General</c:formatCode>
                <c:ptCount val="1"/>
                <c:pt idx="0">
                  <c:v>0</c:v>
                </c:pt>
              </c:numCache>
            </c:numRef>
          </c:val>
          <c:extLst>
            <c:ext xmlns:c16="http://schemas.microsoft.com/office/drawing/2014/chart" uri="{C3380CC4-5D6E-409C-BE32-E72D297353CC}">
              <c16:uniqueId val="{00000002-4ADC-4DAC-BB04-DA20FDE4E99E}"/>
            </c:ext>
          </c:extLst>
        </c:ser>
        <c:ser>
          <c:idx val="3"/>
          <c:order val="3"/>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6-8F13-4E44-8A48-FA8888F9FB92}"/>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Text!$Y$387</c:f>
              <c:numCache>
                <c:formatCode>General</c:formatCode>
                <c:ptCount val="1"/>
                <c:pt idx="0">
                  <c:v>0</c:v>
                </c:pt>
              </c:numCache>
            </c:numRef>
          </c:val>
          <c:extLst>
            <c:ext xmlns:c16="http://schemas.microsoft.com/office/drawing/2014/chart" uri="{C3380CC4-5D6E-409C-BE32-E72D297353CC}">
              <c16:uniqueId val="{00000003-4ADC-4DAC-BB04-DA20FDE4E99E}"/>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Text!$Y$388</c:f>
              <c:numCache>
                <c:formatCode>General</c:formatCode>
                <c:ptCount val="1"/>
                <c:pt idx="0">
                  <c:v>0.5</c:v>
                </c:pt>
              </c:numCache>
            </c:numRef>
          </c:val>
          <c:extLst>
            <c:ext xmlns:c16="http://schemas.microsoft.com/office/drawing/2014/chart" uri="{C3380CC4-5D6E-409C-BE32-E72D297353CC}">
              <c16:uniqueId val="{00000004-4ADC-4DAC-BB04-DA20FDE4E99E}"/>
            </c:ext>
          </c:extLst>
        </c:ser>
        <c:ser>
          <c:idx val="5"/>
          <c:order val="5"/>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Text!$Y$389</c:f>
              <c:numCache>
                <c:formatCode>General</c:formatCode>
                <c:ptCount val="1"/>
                <c:pt idx="0">
                  <c:v>0.15</c:v>
                </c:pt>
              </c:numCache>
            </c:numRef>
          </c:val>
          <c:extLst>
            <c:ext xmlns:c16="http://schemas.microsoft.com/office/drawing/2014/chart" uri="{C3380CC4-5D6E-409C-BE32-E72D297353CC}">
              <c16:uniqueId val="{00000005-4ADC-4DAC-BB04-DA20FDE4E99E}"/>
            </c:ext>
          </c:extLst>
        </c:ser>
        <c:ser>
          <c:idx val="6"/>
          <c:order val="6"/>
          <c:spPr>
            <a:solidFill>
              <a:sysClr val="window" lastClr="FFFFFF"/>
            </a:solidFill>
            <a:ln>
              <a:no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7-4ADC-4DAC-BB04-DA20FDE4E99E}"/>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Text!$Y$390</c:f>
              <c:numCache>
                <c:formatCode>General</c:formatCode>
                <c:ptCount val="1"/>
                <c:pt idx="0">
                  <c:v>0.2</c:v>
                </c:pt>
              </c:numCache>
            </c:numRef>
          </c:val>
          <c:extLst>
            <c:ext xmlns:c16="http://schemas.microsoft.com/office/drawing/2014/chart" uri="{C3380CC4-5D6E-409C-BE32-E72D297353CC}">
              <c16:uniqueId val="{00000008-4ADC-4DAC-BB04-DA20FDE4E99E}"/>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Text!$Y$391</c:f>
              <c:numCache>
                <c:formatCode>General</c:formatCode>
                <c:ptCount val="1"/>
                <c:pt idx="0">
                  <c:v>0.15</c:v>
                </c:pt>
              </c:numCache>
            </c:numRef>
          </c:val>
          <c:extLst>
            <c:ext xmlns:c16="http://schemas.microsoft.com/office/drawing/2014/chart" uri="{C3380CC4-5D6E-409C-BE32-E72D297353CC}">
              <c16:uniqueId val="{00000009-4ADC-4DAC-BB04-DA20FDE4E99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no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Text!$Q$362:$T$362</c15:sqref>
                  </c15:fullRef>
                </c:ext>
              </c:extLst>
              <c:f>Text!$S$362:$T$362</c:f>
              <c:numCache>
                <c:formatCode>0.00</c:formatCode>
                <c:ptCount val="2"/>
                <c:pt idx="0">
                  <c:v>0</c:v>
                </c:pt>
                <c:pt idx="1">
                  <c:v>0</c:v>
                </c:pt>
              </c:numCache>
            </c:numRef>
          </c:val>
          <c:extLst>
            <c:ext xmlns:c16="http://schemas.microsoft.com/office/drawing/2014/chart" uri="{C3380CC4-5D6E-409C-BE32-E72D297353CC}">
              <c16:uniqueId val="{00000000-7DAD-4C58-ADAB-6F421BDA2D66}"/>
            </c:ext>
          </c:extLst>
        </c:ser>
        <c:ser>
          <c:idx val="1"/>
          <c:order val="1"/>
          <c:spPr>
            <a:no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Text!$Q$363:$T$363</c15:sqref>
                  </c15:fullRef>
                </c:ext>
              </c:extLst>
              <c:f>Text!$S$363:$T$363</c:f>
              <c:numCache>
                <c:formatCode>0.00</c:formatCode>
                <c:ptCount val="2"/>
                <c:pt idx="0">
                  <c:v>0</c:v>
                </c:pt>
                <c:pt idx="1">
                  <c:v>0</c:v>
                </c:pt>
              </c:numCache>
            </c:numRef>
          </c:val>
          <c:extLst>
            <c:ext xmlns:c16="http://schemas.microsoft.com/office/drawing/2014/chart" uri="{C3380CC4-5D6E-409C-BE32-E72D297353CC}">
              <c16:uniqueId val="{00000001-7DAD-4C58-ADAB-6F421BDA2D66}"/>
            </c:ext>
          </c:extLst>
        </c:ser>
        <c:ser>
          <c:idx val="2"/>
          <c:order val="2"/>
          <c:spPr>
            <a:no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Text!$Q$364:$T$364</c15:sqref>
                  </c15:fullRef>
                </c:ext>
              </c:extLst>
              <c:f>Text!$S$364:$T$364</c:f>
              <c:numCache>
                <c:formatCode>0.00</c:formatCode>
                <c:ptCount val="2"/>
                <c:pt idx="0">
                  <c:v>0</c:v>
                </c:pt>
                <c:pt idx="1">
                  <c:v>0</c:v>
                </c:pt>
              </c:numCache>
            </c:numRef>
          </c:val>
          <c:extLst>
            <c:ext xmlns:c16="http://schemas.microsoft.com/office/drawing/2014/chart" uri="{C3380CC4-5D6E-409C-BE32-E72D297353CC}">
              <c16:uniqueId val="{00000002-7DAD-4C58-ADAB-6F421BDA2D66}"/>
            </c:ext>
          </c:extLst>
        </c:ser>
        <c:ser>
          <c:idx val="3"/>
          <c:order val="3"/>
          <c:spPr>
            <a:no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Text!$Q$365:$T$365</c15:sqref>
                  </c15:fullRef>
                </c:ext>
              </c:extLst>
              <c:f>Text!$S$365:$T$365</c:f>
              <c:numCache>
                <c:formatCode>0.00</c:formatCode>
                <c:ptCount val="2"/>
                <c:pt idx="0">
                  <c:v>0</c:v>
                </c:pt>
                <c:pt idx="1">
                  <c:v>0</c:v>
                </c:pt>
              </c:numCache>
            </c:numRef>
          </c:val>
          <c:extLst>
            <c:ext xmlns:c16="http://schemas.microsoft.com/office/drawing/2014/chart" uri="{C3380CC4-5D6E-409C-BE32-E72D297353CC}">
              <c16:uniqueId val="{00000003-7DAD-4C58-ADAB-6F421BDA2D66}"/>
            </c:ext>
          </c:extLst>
        </c:ser>
        <c:ser>
          <c:idx val="4"/>
          <c:order val="4"/>
          <c:spPr>
            <a:solidFill>
              <a:sysClr val="window" lastClr="FFFFFF"/>
            </a:solidFill>
            <a:ln>
              <a:solidFill>
                <a:srgbClr val="76B729"/>
              </a:solid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0-3153-4A20-BDE3-5DAD0A041948}"/>
              </c:ext>
            </c:extLst>
          </c:dPt>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Text!$Q$366:$T$366</c15:sqref>
                  </c15:fullRef>
                </c:ext>
              </c:extLst>
              <c:f>Text!$S$366:$T$366</c:f>
              <c:numCache>
                <c:formatCode>0.00</c:formatCode>
                <c:ptCount val="2"/>
                <c:pt idx="0">
                  <c:v>-0.5</c:v>
                </c:pt>
                <c:pt idx="1">
                  <c:v>-0.5</c:v>
                </c:pt>
              </c:numCache>
            </c:numRef>
          </c:val>
          <c:extLst>
            <c:ext xmlns:c16="http://schemas.microsoft.com/office/drawing/2014/chart" uri="{C3380CC4-5D6E-409C-BE32-E72D297353CC}">
              <c16:uniqueId val="{00000004-7DAD-4C58-ADAB-6F421BDA2D66}"/>
            </c:ext>
          </c:extLst>
        </c:ser>
        <c:ser>
          <c:idx val="5"/>
          <c:order val="5"/>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Text!$Q$367:$T$367</c15:sqref>
                  </c15:fullRef>
                </c:ext>
              </c:extLst>
              <c:f>Text!$S$367:$T$367</c:f>
              <c:numCache>
                <c:formatCode>0.00</c:formatCode>
                <c:ptCount val="2"/>
                <c:pt idx="0">
                  <c:v>-0.15</c:v>
                </c:pt>
                <c:pt idx="1">
                  <c:v>-0.15</c:v>
                </c:pt>
              </c:numCache>
            </c:numRef>
          </c:val>
          <c:extLst>
            <c:ext xmlns:c16="http://schemas.microsoft.com/office/drawing/2014/chart" uri="{C3380CC4-5D6E-409C-BE32-E72D297353CC}">
              <c16:uniqueId val="{00000005-7DAD-4C58-ADAB-6F421BDA2D66}"/>
            </c:ext>
          </c:extLst>
        </c:ser>
        <c:ser>
          <c:idx val="6"/>
          <c:order val="6"/>
          <c:spPr>
            <a:solidFill>
              <a:sysClr val="window" lastClr="FFFFFF"/>
            </a:solidFill>
            <a:ln>
              <a:solidFill>
                <a:srgbClr val="76B729"/>
              </a:solid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2-3153-4A20-BDE3-5DAD0A041948}"/>
              </c:ext>
            </c:extLst>
          </c:dPt>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Text!$Q$368:$T$368</c15:sqref>
                  </c15:fullRef>
                </c:ext>
              </c:extLst>
              <c:f>Text!$S$368:$T$368</c:f>
              <c:numCache>
                <c:formatCode>0.00</c:formatCode>
                <c:ptCount val="2"/>
                <c:pt idx="0">
                  <c:v>-0.2</c:v>
                </c:pt>
                <c:pt idx="1">
                  <c:v>-0.2</c:v>
                </c:pt>
              </c:numCache>
            </c:numRef>
          </c:val>
          <c:extLst>
            <c:ext xmlns:c16="http://schemas.microsoft.com/office/drawing/2014/chart" uri="{C3380CC4-5D6E-409C-BE32-E72D297353CC}">
              <c16:uniqueId val="{00000006-7DAD-4C58-ADAB-6F421BDA2D66}"/>
            </c:ext>
          </c:extLst>
        </c:ser>
        <c:ser>
          <c:idx val="7"/>
          <c:order val="7"/>
          <c:spPr>
            <a:solidFill>
              <a:sysClr val="window" lastClr="FFFFFF"/>
            </a:solidFill>
            <a:ln>
              <a:solidFill>
                <a:srgbClr val="76B729"/>
              </a:solid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1-3153-4A20-BDE3-5DAD0A041948}"/>
              </c:ext>
            </c:extLst>
          </c:dPt>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Text!$Q$369:$T$369</c15:sqref>
                  </c15:fullRef>
                </c:ext>
              </c:extLst>
              <c:f>Text!$S$369:$T$369</c:f>
              <c:numCache>
                <c:formatCode>0.00</c:formatCode>
                <c:ptCount val="2"/>
                <c:pt idx="0">
                  <c:v>-0.15</c:v>
                </c:pt>
                <c:pt idx="1">
                  <c:v>-0.15</c:v>
                </c:pt>
              </c:numCache>
            </c:numRef>
          </c:val>
          <c:extLst>
            <c:ext xmlns:c16="http://schemas.microsoft.com/office/drawing/2014/chart" uri="{C3380CC4-5D6E-409C-BE32-E72D297353CC}">
              <c16:uniqueId val="{00000007-7DAD-4C58-ADAB-6F421BDA2D66}"/>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solidFill>
          <a:srgbClr val="D1E3B0"/>
        </a:solidFill>
        <a:ln>
          <a:solidFill>
            <a:srgbClr val="76B729"/>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Text!$Q$339:$T$339</c15:sqref>
                  </c15:fullRef>
                </c:ext>
              </c:extLst>
              <c:f>Text!$R$339:$S$339</c:f>
              <c:numCache>
                <c:formatCode>0.00</c:formatCode>
                <c:ptCount val="2"/>
                <c:pt idx="0">
                  <c:v>0</c:v>
                </c:pt>
                <c:pt idx="1">
                  <c:v>0</c:v>
                </c:pt>
              </c:numCache>
            </c:numRef>
          </c:val>
          <c:extLst>
            <c:ext xmlns:c16="http://schemas.microsoft.com/office/drawing/2014/chart" uri="{C3380CC4-5D6E-409C-BE32-E72D297353CC}">
              <c16:uniqueId val="{00000000-4922-4E20-A249-61573642EB54}"/>
            </c:ext>
          </c:extLst>
        </c:ser>
        <c:ser>
          <c:idx val="1"/>
          <c:order val="1"/>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Text!$Q$340:$T$340</c15:sqref>
                  </c15:fullRef>
                </c:ext>
              </c:extLst>
              <c:f>Text!$R$340:$S$340</c:f>
              <c:numCache>
                <c:formatCode>0.00</c:formatCode>
                <c:ptCount val="2"/>
                <c:pt idx="0">
                  <c:v>0</c:v>
                </c:pt>
                <c:pt idx="1">
                  <c:v>0</c:v>
                </c:pt>
              </c:numCache>
            </c:numRef>
          </c:val>
          <c:extLst>
            <c:ext xmlns:c16="http://schemas.microsoft.com/office/drawing/2014/chart" uri="{C3380CC4-5D6E-409C-BE32-E72D297353CC}">
              <c16:uniqueId val="{00000001-4922-4E20-A249-61573642EB54}"/>
            </c:ext>
          </c:extLst>
        </c:ser>
        <c:ser>
          <c:idx val="2"/>
          <c:order val="2"/>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Text!$Q$341:$T$341</c15:sqref>
                  </c15:fullRef>
                </c:ext>
              </c:extLst>
              <c:f>Text!$R$341:$S$341</c:f>
              <c:numCache>
                <c:formatCode>0.00</c:formatCode>
                <c:ptCount val="2"/>
                <c:pt idx="0">
                  <c:v>0</c:v>
                </c:pt>
                <c:pt idx="1">
                  <c:v>0</c:v>
                </c:pt>
              </c:numCache>
            </c:numRef>
          </c:val>
          <c:extLst>
            <c:ext xmlns:c16="http://schemas.microsoft.com/office/drawing/2014/chart" uri="{C3380CC4-5D6E-409C-BE32-E72D297353CC}">
              <c16:uniqueId val="{00000002-4922-4E20-A249-61573642EB54}"/>
            </c:ext>
          </c:extLst>
        </c:ser>
        <c:ser>
          <c:idx val="3"/>
          <c:order val="3"/>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Text!$Q$342:$T$342</c15:sqref>
                  </c15:fullRef>
                </c:ext>
              </c:extLst>
              <c:f>Text!$R$342:$S$342</c:f>
              <c:numCache>
                <c:formatCode>0.00</c:formatCode>
                <c:ptCount val="2"/>
                <c:pt idx="0">
                  <c:v>0</c:v>
                </c:pt>
                <c:pt idx="1">
                  <c:v>0</c:v>
                </c:pt>
              </c:numCache>
            </c:numRef>
          </c:val>
          <c:extLst>
            <c:ext xmlns:c16="http://schemas.microsoft.com/office/drawing/2014/chart" uri="{C3380CC4-5D6E-409C-BE32-E72D297353CC}">
              <c16:uniqueId val="{00000003-4922-4E20-A249-61573642EB54}"/>
            </c:ext>
          </c:extLst>
        </c:ser>
        <c:ser>
          <c:idx val="4"/>
          <c:order val="4"/>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Text!$Q$343:$T$343</c15:sqref>
                  </c15:fullRef>
                </c:ext>
              </c:extLst>
              <c:f>Text!$R$343:$S$343</c:f>
              <c:numCache>
                <c:formatCode>0.00</c:formatCode>
                <c:ptCount val="2"/>
                <c:pt idx="0">
                  <c:v>-0.5</c:v>
                </c:pt>
                <c:pt idx="1">
                  <c:v>-0.5</c:v>
                </c:pt>
              </c:numCache>
            </c:numRef>
          </c:val>
          <c:extLst>
            <c:ext xmlns:c16="http://schemas.microsoft.com/office/drawing/2014/chart" uri="{C3380CC4-5D6E-409C-BE32-E72D297353CC}">
              <c16:uniqueId val="{00000004-4922-4E20-A249-61573642EB54}"/>
            </c:ext>
          </c:extLst>
        </c:ser>
        <c:ser>
          <c:idx val="5"/>
          <c:order val="5"/>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Text!$Q$344:$T$344</c15:sqref>
                  </c15:fullRef>
                </c:ext>
              </c:extLst>
              <c:f>Text!$R$344:$S$344</c:f>
              <c:numCache>
                <c:formatCode>0.00</c:formatCode>
                <c:ptCount val="2"/>
                <c:pt idx="0">
                  <c:v>-0.15</c:v>
                </c:pt>
                <c:pt idx="1">
                  <c:v>-0.15</c:v>
                </c:pt>
              </c:numCache>
            </c:numRef>
          </c:val>
          <c:extLst>
            <c:ext xmlns:c16="http://schemas.microsoft.com/office/drawing/2014/chart" uri="{C3380CC4-5D6E-409C-BE32-E72D297353CC}">
              <c16:uniqueId val="{00000005-4922-4E20-A249-61573642EB54}"/>
            </c:ext>
          </c:extLst>
        </c:ser>
        <c:ser>
          <c:idx val="6"/>
          <c:order val="6"/>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Text!$Q$345:$T$345</c15:sqref>
                  </c15:fullRef>
                </c:ext>
              </c:extLst>
              <c:f>Text!$R$345:$S$345</c:f>
              <c:numCache>
                <c:formatCode>0.00</c:formatCode>
                <c:ptCount val="2"/>
                <c:pt idx="0">
                  <c:v>-0.2</c:v>
                </c:pt>
                <c:pt idx="1">
                  <c:v>-0.2</c:v>
                </c:pt>
              </c:numCache>
            </c:numRef>
          </c:val>
          <c:extLst>
            <c:ext xmlns:c16="http://schemas.microsoft.com/office/drawing/2014/chart" uri="{C3380CC4-5D6E-409C-BE32-E72D297353CC}">
              <c16:uniqueId val="{00000006-4922-4E20-A249-61573642EB54}"/>
            </c:ext>
          </c:extLst>
        </c:ser>
        <c:ser>
          <c:idx val="7"/>
          <c:order val="7"/>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Text!$Q$346:$T$346</c15:sqref>
                  </c15:fullRef>
                </c:ext>
              </c:extLst>
              <c:f>Text!$R$346:$S$346</c:f>
              <c:numCache>
                <c:formatCode>0.00</c:formatCode>
                <c:ptCount val="2"/>
                <c:pt idx="0">
                  <c:v>-0.15</c:v>
                </c:pt>
                <c:pt idx="1">
                  <c:v>-0.15</c:v>
                </c:pt>
              </c:numCache>
            </c:numRef>
          </c:val>
          <c:extLst>
            <c:ext xmlns:c16="http://schemas.microsoft.com/office/drawing/2014/chart" uri="{C3380CC4-5D6E-409C-BE32-E72D297353CC}">
              <c16:uniqueId val="{00000007-4922-4E20-A249-61573642EB54}"/>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Text!$Q$362:$T$362</c15:sqref>
                  </c15:fullRef>
                </c:ext>
              </c:extLst>
              <c:f>Text!$R$362</c:f>
              <c:numCache>
                <c:formatCode>0.00</c:formatCode>
                <c:ptCount val="1"/>
                <c:pt idx="0">
                  <c:v>0</c:v>
                </c:pt>
              </c:numCache>
            </c:numRef>
          </c:val>
          <c:extLst>
            <c:ext xmlns:c16="http://schemas.microsoft.com/office/drawing/2014/chart" uri="{C3380CC4-5D6E-409C-BE32-E72D297353CC}">
              <c16:uniqueId val="{00000000-97DC-4017-9D3E-10544D9DCD0A}"/>
            </c:ext>
          </c:extLst>
        </c:ser>
        <c:ser>
          <c:idx val="1"/>
          <c:order val="1"/>
          <c:spPr>
            <a:solidFill>
              <a:srgbClr val="D1E3B0"/>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Text!$Q$363:$T$363</c15:sqref>
                  </c15:fullRef>
                </c:ext>
              </c:extLst>
              <c:f>Text!$R$363</c:f>
              <c:numCache>
                <c:formatCode>0.00</c:formatCode>
                <c:ptCount val="1"/>
                <c:pt idx="0">
                  <c:v>0</c:v>
                </c:pt>
              </c:numCache>
            </c:numRef>
          </c:val>
          <c:extLst>
            <c:ext xmlns:c16="http://schemas.microsoft.com/office/drawing/2014/chart" uri="{C3380CC4-5D6E-409C-BE32-E72D297353CC}">
              <c16:uniqueId val="{00000001-97DC-4017-9D3E-10544D9DCD0A}"/>
            </c:ext>
          </c:extLst>
        </c:ser>
        <c:ser>
          <c:idx val="2"/>
          <c:order val="2"/>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0-03F4-4AE2-95BF-1EE999D3F5E3}"/>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Text!$Q$364:$T$364</c15:sqref>
                  </c15:fullRef>
                </c:ext>
              </c:extLst>
              <c:f>Text!$R$364</c:f>
              <c:numCache>
                <c:formatCode>0.00</c:formatCode>
                <c:ptCount val="1"/>
                <c:pt idx="0">
                  <c:v>0</c:v>
                </c:pt>
              </c:numCache>
            </c:numRef>
          </c:val>
          <c:extLst>
            <c:ext xmlns:c16="http://schemas.microsoft.com/office/drawing/2014/chart" uri="{C3380CC4-5D6E-409C-BE32-E72D297353CC}">
              <c16:uniqueId val="{00000002-97DC-4017-9D3E-10544D9DCD0A}"/>
            </c:ext>
          </c:extLst>
        </c:ser>
        <c:ser>
          <c:idx val="3"/>
          <c:order val="3"/>
          <c:spPr>
            <a:solidFill>
              <a:srgbClr val="D1E3B0"/>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Text!$Q$365:$T$365</c15:sqref>
                  </c15:fullRef>
                </c:ext>
              </c:extLst>
              <c:f>Text!$R$365</c:f>
              <c:numCache>
                <c:formatCode>0.00</c:formatCode>
                <c:ptCount val="1"/>
                <c:pt idx="0">
                  <c:v>0</c:v>
                </c:pt>
              </c:numCache>
            </c:numRef>
          </c:val>
          <c:extLst>
            <c:ext xmlns:c16="http://schemas.microsoft.com/office/drawing/2014/chart" uri="{C3380CC4-5D6E-409C-BE32-E72D297353CC}">
              <c16:uniqueId val="{00000003-97DC-4017-9D3E-10544D9DCD0A}"/>
            </c:ext>
          </c:extLst>
        </c:ser>
        <c:ser>
          <c:idx val="4"/>
          <c:order val="4"/>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Text!$Q$366:$T$366</c15:sqref>
                  </c15:fullRef>
                </c:ext>
              </c:extLst>
              <c:f>Text!$R$366</c:f>
              <c:numCache>
                <c:formatCode>0.00</c:formatCode>
                <c:ptCount val="1"/>
                <c:pt idx="0">
                  <c:v>-0.5</c:v>
                </c:pt>
              </c:numCache>
            </c:numRef>
          </c:val>
          <c:extLst>
            <c:ext xmlns:c16="http://schemas.microsoft.com/office/drawing/2014/chart" uri="{C3380CC4-5D6E-409C-BE32-E72D297353CC}">
              <c16:uniqueId val="{00000004-97DC-4017-9D3E-10544D9DCD0A}"/>
            </c:ext>
          </c:extLst>
        </c:ser>
        <c:ser>
          <c:idx val="5"/>
          <c:order val="5"/>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Text!$Q$367:$T$367</c15:sqref>
                  </c15:fullRef>
                </c:ext>
              </c:extLst>
              <c:f>Text!$R$367</c:f>
              <c:numCache>
                <c:formatCode>0.00</c:formatCode>
                <c:ptCount val="1"/>
                <c:pt idx="0">
                  <c:v>-0.15</c:v>
                </c:pt>
              </c:numCache>
            </c:numRef>
          </c:val>
          <c:extLst>
            <c:ext xmlns:c16="http://schemas.microsoft.com/office/drawing/2014/chart" uri="{C3380CC4-5D6E-409C-BE32-E72D297353CC}">
              <c16:uniqueId val="{00000005-97DC-4017-9D3E-10544D9DCD0A}"/>
            </c:ext>
          </c:extLst>
        </c:ser>
        <c:ser>
          <c:idx val="6"/>
          <c:order val="6"/>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Text!$Q$368:$T$368</c15:sqref>
                  </c15:fullRef>
                </c:ext>
              </c:extLst>
              <c:f>Text!$R$368</c:f>
              <c:numCache>
                <c:formatCode>0.00</c:formatCode>
                <c:ptCount val="1"/>
                <c:pt idx="0">
                  <c:v>-0.2</c:v>
                </c:pt>
              </c:numCache>
            </c:numRef>
          </c:val>
          <c:extLst>
            <c:ext xmlns:c16="http://schemas.microsoft.com/office/drawing/2014/chart" uri="{C3380CC4-5D6E-409C-BE32-E72D297353CC}">
              <c16:uniqueId val="{00000006-97DC-4017-9D3E-10544D9DCD0A}"/>
            </c:ext>
          </c:extLst>
        </c:ser>
        <c:ser>
          <c:idx val="7"/>
          <c:order val="7"/>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Text!$Q$369:$T$369</c15:sqref>
                  </c15:fullRef>
                </c:ext>
              </c:extLst>
              <c:f>Text!$R$369</c:f>
              <c:numCache>
                <c:formatCode>0.00</c:formatCode>
                <c:ptCount val="1"/>
                <c:pt idx="0">
                  <c:v>-0.15</c:v>
                </c:pt>
              </c:numCache>
            </c:numRef>
          </c:val>
          <c:extLst>
            <c:ext xmlns:c16="http://schemas.microsoft.com/office/drawing/2014/chart" uri="{C3380CC4-5D6E-409C-BE32-E72D297353CC}">
              <c16:uniqueId val="{00000007-97DC-4017-9D3E-10544D9DCD0A}"/>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76B729"/>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E8F1D9"/>
              </a:solidFill>
              <a:ln>
                <a:solidFill>
                  <a:srgbClr val="76B729"/>
                </a:solidFill>
              </a:ln>
              <a:effectLst/>
            </c:spPr>
            <c:extLst>
              <c:ext xmlns:c16="http://schemas.microsoft.com/office/drawing/2014/chart" uri="{C3380CC4-5D6E-409C-BE32-E72D297353CC}">
                <c16:uniqueId val="{00000001-8E5F-46DE-9245-268C3918C7D7}"/>
              </c:ext>
            </c:extLst>
          </c:dPt>
          <c:dPt>
            <c:idx val="1"/>
            <c:invertIfNegative val="0"/>
            <c:bubble3D val="0"/>
            <c:spPr>
              <a:solidFill>
                <a:srgbClr val="E8F1D9"/>
              </a:solidFill>
              <a:ln>
                <a:solidFill>
                  <a:srgbClr val="76B729"/>
                </a:solidFill>
              </a:ln>
              <a:effectLst/>
            </c:spPr>
            <c:extLst>
              <c:ext xmlns:c16="http://schemas.microsoft.com/office/drawing/2014/chart" uri="{C3380CC4-5D6E-409C-BE32-E72D297353CC}">
                <c16:uniqueId val="{00000000-8E5F-46DE-9245-268C3918C7D7}"/>
              </c:ext>
            </c:extLst>
          </c:dPt>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Text!$Y$362:$Z$362</c:f>
              <c:numCache>
                <c:formatCode>0.00</c:formatCode>
                <c:ptCount val="2"/>
                <c:pt idx="0">
                  <c:v>0</c:v>
                </c:pt>
                <c:pt idx="1">
                  <c:v>0</c:v>
                </c:pt>
              </c:numCache>
            </c:numRef>
          </c:val>
          <c:extLst>
            <c:ext xmlns:c16="http://schemas.microsoft.com/office/drawing/2014/chart" uri="{C3380CC4-5D6E-409C-BE32-E72D297353CC}">
              <c16:uniqueId val="{00000000-63CD-4017-80F2-20B168FFBE45}"/>
            </c:ext>
          </c:extLst>
        </c:ser>
        <c:ser>
          <c:idx val="1"/>
          <c:order val="1"/>
          <c:spPr>
            <a:solidFill>
              <a:srgbClr val="E8F1D9"/>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Text!$Y$363:$Z$363</c:f>
              <c:numCache>
                <c:formatCode>0.00</c:formatCode>
                <c:ptCount val="2"/>
                <c:pt idx="0">
                  <c:v>0</c:v>
                </c:pt>
                <c:pt idx="1">
                  <c:v>0</c:v>
                </c:pt>
              </c:numCache>
            </c:numRef>
          </c:val>
          <c:extLst>
            <c:ext xmlns:c16="http://schemas.microsoft.com/office/drawing/2014/chart" uri="{C3380CC4-5D6E-409C-BE32-E72D297353CC}">
              <c16:uniqueId val="{00000001-63CD-4017-80F2-20B168FFBE45}"/>
            </c:ext>
          </c:extLst>
        </c:ser>
        <c:ser>
          <c:idx val="2"/>
          <c:order val="2"/>
          <c:spPr>
            <a:solidFill>
              <a:srgbClr val="E8F1D9"/>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Text!$Y$364:$Z$364</c:f>
              <c:numCache>
                <c:formatCode>0.00</c:formatCode>
                <c:ptCount val="2"/>
                <c:pt idx="0">
                  <c:v>0</c:v>
                </c:pt>
                <c:pt idx="1">
                  <c:v>0</c:v>
                </c:pt>
              </c:numCache>
            </c:numRef>
          </c:val>
          <c:extLst>
            <c:ext xmlns:c16="http://schemas.microsoft.com/office/drawing/2014/chart" uri="{C3380CC4-5D6E-409C-BE32-E72D297353CC}">
              <c16:uniqueId val="{00000002-63CD-4017-80F2-20B168FFBE45}"/>
            </c:ext>
          </c:extLst>
        </c:ser>
        <c:ser>
          <c:idx val="3"/>
          <c:order val="3"/>
          <c:spPr>
            <a:solidFill>
              <a:srgbClr val="E8F1D9"/>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Text!$Y$365:$Z$365</c:f>
              <c:numCache>
                <c:formatCode>0.00</c:formatCode>
                <c:ptCount val="2"/>
                <c:pt idx="0">
                  <c:v>0</c:v>
                </c:pt>
                <c:pt idx="1">
                  <c:v>0</c:v>
                </c:pt>
              </c:numCache>
            </c:numRef>
          </c:val>
          <c:extLst>
            <c:ext xmlns:c16="http://schemas.microsoft.com/office/drawing/2014/chart" uri="{C3380CC4-5D6E-409C-BE32-E72D297353CC}">
              <c16:uniqueId val="{00000003-63CD-4017-80F2-20B168FFBE45}"/>
            </c:ext>
          </c:extLst>
        </c:ser>
        <c:ser>
          <c:idx val="4"/>
          <c:order val="4"/>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Text!$Y$366:$Z$366</c:f>
              <c:numCache>
                <c:formatCode>0.00</c:formatCode>
                <c:ptCount val="2"/>
                <c:pt idx="0">
                  <c:v>0.5</c:v>
                </c:pt>
                <c:pt idx="1">
                  <c:v>0.5</c:v>
                </c:pt>
              </c:numCache>
            </c:numRef>
          </c:val>
          <c:extLst>
            <c:ext xmlns:c16="http://schemas.microsoft.com/office/drawing/2014/chart" uri="{C3380CC4-5D6E-409C-BE32-E72D297353CC}">
              <c16:uniqueId val="{00000004-63CD-4017-80F2-20B168FFBE45}"/>
            </c:ext>
          </c:extLst>
        </c:ser>
        <c:ser>
          <c:idx val="5"/>
          <c:order val="5"/>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Text!$Y$367:$Z$367</c:f>
              <c:numCache>
                <c:formatCode>0.00</c:formatCode>
                <c:ptCount val="2"/>
                <c:pt idx="0">
                  <c:v>0.15</c:v>
                </c:pt>
                <c:pt idx="1">
                  <c:v>0.15</c:v>
                </c:pt>
              </c:numCache>
            </c:numRef>
          </c:val>
          <c:extLst>
            <c:ext xmlns:c16="http://schemas.microsoft.com/office/drawing/2014/chart" uri="{C3380CC4-5D6E-409C-BE32-E72D297353CC}">
              <c16:uniqueId val="{00000005-63CD-4017-80F2-20B168FFBE45}"/>
            </c:ext>
          </c:extLst>
        </c:ser>
        <c:ser>
          <c:idx val="6"/>
          <c:order val="6"/>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Text!$Y$368:$Z$368</c:f>
              <c:numCache>
                <c:formatCode>0.00</c:formatCode>
                <c:ptCount val="2"/>
                <c:pt idx="0">
                  <c:v>0.2</c:v>
                </c:pt>
                <c:pt idx="1">
                  <c:v>0.2</c:v>
                </c:pt>
              </c:numCache>
            </c:numRef>
          </c:val>
          <c:extLst>
            <c:ext xmlns:c16="http://schemas.microsoft.com/office/drawing/2014/chart" uri="{C3380CC4-5D6E-409C-BE32-E72D297353CC}">
              <c16:uniqueId val="{00000006-63CD-4017-80F2-20B168FFBE45}"/>
            </c:ext>
          </c:extLst>
        </c:ser>
        <c:ser>
          <c:idx val="7"/>
          <c:order val="7"/>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Text!$Y$369:$Z$369</c:f>
              <c:numCache>
                <c:formatCode>0.00</c:formatCode>
                <c:ptCount val="2"/>
                <c:pt idx="0">
                  <c:v>0.15</c:v>
                </c:pt>
                <c:pt idx="1">
                  <c:v>0.15</c:v>
                </c:pt>
              </c:numCache>
            </c:numRef>
          </c:val>
          <c:extLst>
            <c:ext xmlns:c16="http://schemas.microsoft.com/office/drawing/2014/chart" uri="{C3380CC4-5D6E-409C-BE32-E72D297353CC}">
              <c16:uniqueId val="{00000007-63CD-4017-80F2-20B168FFBE45}"/>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Text!$X$362</c:f>
              <c:numCache>
                <c:formatCode>0.00</c:formatCode>
                <c:ptCount val="1"/>
                <c:pt idx="0">
                  <c:v>0</c:v>
                </c:pt>
              </c:numCache>
            </c:numRef>
          </c:val>
          <c:extLst>
            <c:ext xmlns:c16="http://schemas.microsoft.com/office/drawing/2014/chart" uri="{C3380CC4-5D6E-409C-BE32-E72D297353CC}">
              <c16:uniqueId val="{00000000-015F-4F78-8013-284FA6559C7F}"/>
            </c:ext>
          </c:extLst>
        </c:ser>
        <c:ser>
          <c:idx val="1"/>
          <c:order val="1"/>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Text!$X$363</c:f>
              <c:numCache>
                <c:formatCode>0.00</c:formatCode>
                <c:ptCount val="1"/>
                <c:pt idx="0">
                  <c:v>0</c:v>
                </c:pt>
              </c:numCache>
            </c:numRef>
          </c:val>
          <c:extLst>
            <c:ext xmlns:c16="http://schemas.microsoft.com/office/drawing/2014/chart" uri="{C3380CC4-5D6E-409C-BE32-E72D297353CC}">
              <c16:uniqueId val="{00000001-015F-4F78-8013-284FA6559C7F}"/>
            </c:ext>
          </c:extLst>
        </c:ser>
        <c:ser>
          <c:idx val="2"/>
          <c:order val="2"/>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Text!$X$364</c:f>
              <c:numCache>
                <c:formatCode>0.00</c:formatCode>
                <c:ptCount val="1"/>
                <c:pt idx="0">
                  <c:v>0</c:v>
                </c:pt>
              </c:numCache>
            </c:numRef>
          </c:val>
          <c:extLst>
            <c:ext xmlns:c16="http://schemas.microsoft.com/office/drawing/2014/chart" uri="{C3380CC4-5D6E-409C-BE32-E72D297353CC}">
              <c16:uniqueId val="{00000002-015F-4F78-8013-284FA6559C7F}"/>
            </c:ext>
          </c:extLst>
        </c:ser>
        <c:ser>
          <c:idx val="3"/>
          <c:order val="3"/>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Text!$X$365</c:f>
              <c:numCache>
                <c:formatCode>0.00</c:formatCode>
                <c:ptCount val="1"/>
                <c:pt idx="0">
                  <c:v>0</c:v>
                </c:pt>
              </c:numCache>
            </c:numRef>
          </c:val>
          <c:extLst>
            <c:ext xmlns:c16="http://schemas.microsoft.com/office/drawing/2014/chart" uri="{C3380CC4-5D6E-409C-BE32-E72D297353CC}">
              <c16:uniqueId val="{00000003-015F-4F78-8013-284FA6559C7F}"/>
            </c:ext>
          </c:extLst>
        </c:ser>
        <c:ser>
          <c:idx val="4"/>
          <c:order val="4"/>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Text!$X$366</c:f>
              <c:numCache>
                <c:formatCode>0.00</c:formatCode>
                <c:ptCount val="1"/>
                <c:pt idx="0">
                  <c:v>0.5</c:v>
                </c:pt>
              </c:numCache>
            </c:numRef>
          </c:val>
          <c:extLst>
            <c:ext xmlns:c16="http://schemas.microsoft.com/office/drawing/2014/chart" uri="{C3380CC4-5D6E-409C-BE32-E72D297353CC}">
              <c16:uniqueId val="{00000004-015F-4F78-8013-284FA6559C7F}"/>
            </c:ext>
          </c:extLst>
        </c:ser>
        <c:ser>
          <c:idx val="5"/>
          <c:order val="5"/>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Text!$X$367</c:f>
              <c:numCache>
                <c:formatCode>0.00</c:formatCode>
                <c:ptCount val="1"/>
                <c:pt idx="0">
                  <c:v>0.15</c:v>
                </c:pt>
              </c:numCache>
            </c:numRef>
          </c:val>
          <c:extLst>
            <c:ext xmlns:c16="http://schemas.microsoft.com/office/drawing/2014/chart" uri="{C3380CC4-5D6E-409C-BE32-E72D297353CC}">
              <c16:uniqueId val="{00000005-015F-4F78-8013-284FA6559C7F}"/>
            </c:ext>
          </c:extLst>
        </c:ser>
        <c:ser>
          <c:idx val="6"/>
          <c:order val="6"/>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Text!$X$368</c:f>
              <c:numCache>
                <c:formatCode>0.00</c:formatCode>
                <c:ptCount val="1"/>
                <c:pt idx="0">
                  <c:v>0.2</c:v>
                </c:pt>
              </c:numCache>
            </c:numRef>
          </c:val>
          <c:extLst>
            <c:ext xmlns:c16="http://schemas.microsoft.com/office/drawing/2014/chart" uri="{C3380CC4-5D6E-409C-BE32-E72D297353CC}">
              <c16:uniqueId val="{00000006-015F-4F78-8013-284FA6559C7F}"/>
            </c:ext>
          </c:extLst>
        </c:ser>
        <c:ser>
          <c:idx val="7"/>
          <c:order val="7"/>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Text!$X$369</c:f>
              <c:numCache>
                <c:formatCode>0.00</c:formatCode>
                <c:ptCount val="1"/>
                <c:pt idx="0">
                  <c:v>0.15</c:v>
                </c:pt>
              </c:numCache>
            </c:numRef>
          </c:val>
          <c:extLst>
            <c:ext xmlns:c16="http://schemas.microsoft.com/office/drawing/2014/chart" uri="{C3380CC4-5D6E-409C-BE32-E72D297353CC}">
              <c16:uniqueId val="{00000007-015F-4F78-8013-284FA6559C7F}"/>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Text!$Q$362:$T$362</c15:sqref>
                  </c15:fullRef>
                </c:ext>
              </c:extLst>
              <c:f>Text!$Q$362</c:f>
              <c:numCache>
                <c:formatCode>0.00</c:formatCode>
                <c:ptCount val="1"/>
                <c:pt idx="0">
                  <c:v>0</c:v>
                </c:pt>
              </c:numCache>
            </c:numRef>
          </c:val>
          <c:extLst>
            <c:ext xmlns:c16="http://schemas.microsoft.com/office/drawing/2014/chart" uri="{C3380CC4-5D6E-409C-BE32-E72D297353CC}">
              <c16:uniqueId val="{00000000-169D-4E86-8808-513590640323}"/>
            </c:ext>
          </c:extLst>
        </c:ser>
        <c:ser>
          <c:idx val="1"/>
          <c:order val="1"/>
          <c:spPr>
            <a:solidFill>
              <a:srgbClr val="D1E3B0"/>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Text!$Q$363:$T$363</c15:sqref>
                  </c15:fullRef>
                </c:ext>
              </c:extLst>
              <c:f>Text!$Q$363</c:f>
              <c:numCache>
                <c:formatCode>0.00</c:formatCode>
                <c:ptCount val="1"/>
                <c:pt idx="0">
                  <c:v>0</c:v>
                </c:pt>
              </c:numCache>
            </c:numRef>
          </c:val>
          <c:extLst>
            <c:ext xmlns:c16="http://schemas.microsoft.com/office/drawing/2014/chart" uri="{C3380CC4-5D6E-409C-BE32-E72D297353CC}">
              <c16:uniqueId val="{00000001-169D-4E86-8808-513590640323}"/>
            </c:ext>
          </c:extLst>
        </c:ser>
        <c:ser>
          <c:idx val="2"/>
          <c:order val="2"/>
          <c:spPr>
            <a:solidFill>
              <a:srgbClr val="D1E3B0"/>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Text!$Q$364:$T$364</c15:sqref>
                  </c15:fullRef>
                </c:ext>
              </c:extLst>
              <c:f>Text!$Q$364</c:f>
              <c:numCache>
                <c:formatCode>0.00</c:formatCode>
                <c:ptCount val="1"/>
                <c:pt idx="0">
                  <c:v>0</c:v>
                </c:pt>
              </c:numCache>
            </c:numRef>
          </c:val>
          <c:extLst>
            <c:ext xmlns:c16="http://schemas.microsoft.com/office/drawing/2014/chart" uri="{C3380CC4-5D6E-409C-BE32-E72D297353CC}">
              <c16:uniqueId val="{00000002-169D-4E86-8808-513590640323}"/>
            </c:ext>
          </c:extLst>
        </c:ser>
        <c:ser>
          <c:idx val="3"/>
          <c:order val="3"/>
          <c:spPr>
            <a:solidFill>
              <a:srgbClr val="FFD1D1"/>
            </a:solidFill>
            <a:ln>
              <a:solidFill>
                <a:srgbClr val="76B729"/>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0-98E1-4F8C-A640-73DAF040A572}"/>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Text!$Q$365:$T$365</c15:sqref>
                  </c15:fullRef>
                </c:ext>
              </c:extLst>
              <c:f>Text!$Q$365</c:f>
              <c:numCache>
                <c:formatCode>0.00</c:formatCode>
                <c:ptCount val="1"/>
                <c:pt idx="0">
                  <c:v>0</c:v>
                </c:pt>
              </c:numCache>
            </c:numRef>
          </c:val>
          <c:extLst>
            <c:ext xmlns:c16="http://schemas.microsoft.com/office/drawing/2014/chart" uri="{C3380CC4-5D6E-409C-BE32-E72D297353CC}">
              <c16:uniqueId val="{00000003-169D-4E86-8808-513590640323}"/>
            </c:ext>
          </c:extLst>
        </c:ser>
        <c:ser>
          <c:idx val="4"/>
          <c:order val="4"/>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Text!$Q$366:$T$366</c15:sqref>
                  </c15:fullRef>
                </c:ext>
              </c:extLst>
              <c:f>Text!$Q$366</c:f>
              <c:numCache>
                <c:formatCode>0.00</c:formatCode>
                <c:ptCount val="1"/>
                <c:pt idx="0">
                  <c:v>-0.5</c:v>
                </c:pt>
              </c:numCache>
            </c:numRef>
          </c:val>
          <c:extLst>
            <c:ext xmlns:c16="http://schemas.microsoft.com/office/drawing/2014/chart" uri="{C3380CC4-5D6E-409C-BE32-E72D297353CC}">
              <c16:uniqueId val="{00000004-169D-4E86-8808-513590640323}"/>
            </c:ext>
          </c:extLst>
        </c:ser>
        <c:ser>
          <c:idx val="5"/>
          <c:order val="5"/>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Text!$Q$367:$T$367</c15:sqref>
                  </c15:fullRef>
                </c:ext>
              </c:extLst>
              <c:f>Text!$Q$367</c:f>
              <c:numCache>
                <c:formatCode>0.00</c:formatCode>
                <c:ptCount val="1"/>
                <c:pt idx="0">
                  <c:v>-0.15</c:v>
                </c:pt>
              </c:numCache>
            </c:numRef>
          </c:val>
          <c:extLst>
            <c:ext xmlns:c16="http://schemas.microsoft.com/office/drawing/2014/chart" uri="{C3380CC4-5D6E-409C-BE32-E72D297353CC}">
              <c16:uniqueId val="{00000005-169D-4E86-8808-513590640323}"/>
            </c:ext>
          </c:extLst>
        </c:ser>
        <c:ser>
          <c:idx val="6"/>
          <c:order val="6"/>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Text!$Q$368:$T$368</c15:sqref>
                  </c15:fullRef>
                </c:ext>
              </c:extLst>
              <c:f>Text!$Q$368</c:f>
              <c:numCache>
                <c:formatCode>0.00</c:formatCode>
                <c:ptCount val="1"/>
                <c:pt idx="0">
                  <c:v>-0.2</c:v>
                </c:pt>
              </c:numCache>
            </c:numRef>
          </c:val>
          <c:extLst>
            <c:ext xmlns:c16="http://schemas.microsoft.com/office/drawing/2014/chart" uri="{C3380CC4-5D6E-409C-BE32-E72D297353CC}">
              <c16:uniqueId val="{00000006-169D-4E86-8808-513590640323}"/>
            </c:ext>
          </c:extLst>
        </c:ser>
        <c:ser>
          <c:idx val="7"/>
          <c:order val="7"/>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Text!$Q$369:$T$369</c15:sqref>
                  </c15:fullRef>
                </c:ext>
              </c:extLst>
              <c:f>Text!$Q$369</c:f>
              <c:numCache>
                <c:formatCode>0.00</c:formatCode>
                <c:ptCount val="1"/>
                <c:pt idx="0">
                  <c:v>-0.15</c:v>
                </c:pt>
              </c:numCache>
            </c:numRef>
          </c:val>
          <c:extLst>
            <c:ext xmlns:c16="http://schemas.microsoft.com/office/drawing/2014/chart" uri="{C3380CC4-5D6E-409C-BE32-E72D297353CC}">
              <c16:uniqueId val="{00000007-169D-4E86-8808-51359064032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76B729"/>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E8F1D9"/>
            </a:solidFill>
            <a:ln>
              <a:solidFill>
                <a:srgbClr val="C00000"/>
              </a:solidFill>
            </a:ln>
            <a:effectLst/>
          </c:spPr>
          <c:invertIfNegative val="0"/>
          <c:dPt>
            <c:idx val="0"/>
            <c:invertIfNegative val="0"/>
            <c:bubble3D val="0"/>
            <c:spPr>
              <a:solidFill>
                <a:srgbClr val="E8F1D9"/>
              </a:solidFill>
              <a:ln>
                <a:solidFill>
                  <a:srgbClr val="76B729"/>
                </a:solidFill>
              </a:ln>
              <a:effectLst/>
            </c:spPr>
            <c:extLst>
              <c:ext xmlns:c16="http://schemas.microsoft.com/office/drawing/2014/chart" uri="{C3380CC4-5D6E-409C-BE32-E72D297353CC}">
                <c16:uniqueId val="{00000000-4D3F-46D9-8BCE-647B6904D5A5}"/>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Text!$W$362</c:f>
              <c:numCache>
                <c:formatCode>0.00</c:formatCode>
                <c:ptCount val="1"/>
                <c:pt idx="0">
                  <c:v>0</c:v>
                </c:pt>
              </c:numCache>
            </c:numRef>
          </c:val>
          <c:extLst>
            <c:ext xmlns:c16="http://schemas.microsoft.com/office/drawing/2014/chart" uri="{C3380CC4-5D6E-409C-BE32-E72D297353CC}">
              <c16:uniqueId val="{00000000-2FFA-4E8A-A131-0DCE9A6F9131}"/>
            </c:ext>
          </c:extLst>
        </c:ser>
        <c:ser>
          <c:idx val="1"/>
          <c:order val="1"/>
          <c:spPr>
            <a:solidFill>
              <a:srgbClr val="E8F1D9"/>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Text!$W$363</c:f>
              <c:numCache>
                <c:formatCode>0.00</c:formatCode>
                <c:ptCount val="1"/>
                <c:pt idx="0">
                  <c:v>0</c:v>
                </c:pt>
              </c:numCache>
            </c:numRef>
          </c:val>
          <c:extLst>
            <c:ext xmlns:c16="http://schemas.microsoft.com/office/drawing/2014/chart" uri="{C3380CC4-5D6E-409C-BE32-E72D297353CC}">
              <c16:uniqueId val="{00000001-2FFA-4E8A-A131-0DCE9A6F9131}"/>
            </c:ext>
          </c:extLst>
        </c:ser>
        <c:ser>
          <c:idx val="2"/>
          <c:order val="2"/>
          <c:spPr>
            <a:solidFill>
              <a:srgbClr val="E8F1D9"/>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Text!$W$364</c:f>
              <c:numCache>
                <c:formatCode>0.00</c:formatCode>
                <c:ptCount val="1"/>
                <c:pt idx="0">
                  <c:v>0</c:v>
                </c:pt>
              </c:numCache>
            </c:numRef>
          </c:val>
          <c:extLst>
            <c:ext xmlns:c16="http://schemas.microsoft.com/office/drawing/2014/chart" uri="{C3380CC4-5D6E-409C-BE32-E72D297353CC}">
              <c16:uniqueId val="{00000002-2FFA-4E8A-A131-0DCE9A6F9131}"/>
            </c:ext>
          </c:extLst>
        </c:ser>
        <c:ser>
          <c:idx val="3"/>
          <c:order val="3"/>
          <c:spPr>
            <a:solidFill>
              <a:srgbClr val="E8F1D9"/>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Text!$W$365</c:f>
              <c:numCache>
                <c:formatCode>0.00</c:formatCode>
                <c:ptCount val="1"/>
                <c:pt idx="0">
                  <c:v>0</c:v>
                </c:pt>
              </c:numCache>
            </c:numRef>
          </c:val>
          <c:extLst>
            <c:ext xmlns:c16="http://schemas.microsoft.com/office/drawing/2014/chart" uri="{C3380CC4-5D6E-409C-BE32-E72D297353CC}">
              <c16:uniqueId val="{00000003-2FFA-4E8A-A131-0DCE9A6F9131}"/>
            </c:ext>
          </c:extLst>
        </c:ser>
        <c:ser>
          <c:idx val="4"/>
          <c:order val="4"/>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Text!$W$366</c:f>
              <c:numCache>
                <c:formatCode>0.00</c:formatCode>
                <c:ptCount val="1"/>
                <c:pt idx="0">
                  <c:v>0.5</c:v>
                </c:pt>
              </c:numCache>
            </c:numRef>
          </c:val>
          <c:extLst>
            <c:ext xmlns:c16="http://schemas.microsoft.com/office/drawing/2014/chart" uri="{C3380CC4-5D6E-409C-BE32-E72D297353CC}">
              <c16:uniqueId val="{00000004-2FFA-4E8A-A131-0DCE9A6F9131}"/>
            </c:ext>
          </c:extLst>
        </c:ser>
        <c:ser>
          <c:idx val="5"/>
          <c:order val="5"/>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Text!$W$367</c:f>
              <c:numCache>
                <c:formatCode>0.00</c:formatCode>
                <c:ptCount val="1"/>
                <c:pt idx="0">
                  <c:v>0.15</c:v>
                </c:pt>
              </c:numCache>
            </c:numRef>
          </c:val>
          <c:extLst>
            <c:ext xmlns:c16="http://schemas.microsoft.com/office/drawing/2014/chart" uri="{C3380CC4-5D6E-409C-BE32-E72D297353CC}">
              <c16:uniqueId val="{00000005-2FFA-4E8A-A131-0DCE9A6F9131}"/>
            </c:ext>
          </c:extLst>
        </c:ser>
        <c:ser>
          <c:idx val="6"/>
          <c:order val="6"/>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Text!$W$368</c:f>
              <c:numCache>
                <c:formatCode>0.00</c:formatCode>
                <c:ptCount val="1"/>
                <c:pt idx="0">
                  <c:v>0.2</c:v>
                </c:pt>
              </c:numCache>
            </c:numRef>
          </c:val>
          <c:extLst>
            <c:ext xmlns:c16="http://schemas.microsoft.com/office/drawing/2014/chart" uri="{C3380CC4-5D6E-409C-BE32-E72D297353CC}">
              <c16:uniqueId val="{00000006-2FFA-4E8A-A131-0DCE9A6F9131}"/>
            </c:ext>
          </c:extLst>
        </c:ser>
        <c:ser>
          <c:idx val="7"/>
          <c:order val="7"/>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Text!$W$369</c:f>
              <c:numCache>
                <c:formatCode>0.00</c:formatCode>
                <c:ptCount val="1"/>
                <c:pt idx="0">
                  <c:v>0.15</c:v>
                </c:pt>
              </c:numCache>
            </c:numRef>
          </c:val>
          <c:extLst>
            <c:ext xmlns:c16="http://schemas.microsoft.com/office/drawing/2014/chart" uri="{C3380CC4-5D6E-409C-BE32-E72D297353CC}">
              <c16:uniqueId val="{00000007-2FFA-4E8A-A131-0DCE9A6F913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ysClr val="window" lastClr="FFFFFF"/>
            </a:solidFill>
            <a:ln>
              <a:solidFill>
                <a:srgbClr val="FFC000">
                  <a:lumMod val="75000"/>
                </a:srgbClr>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1-01F0-4284-85DA-E88C62B7D3D3}"/>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Text!$T$384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F7CED3"/>
                    </a:solidFill>
                    <a:ln>
                      <a:solidFill>
                        <a:srgbClr val="FFC000">
                          <a:lumMod val="75000"/>
                        </a:srgbClr>
                      </a:solidFill>
                    </a:ln>
                    <a:effectLst/>
                  </c15:spPr>
                  <c15:invertIfNegative val="0"/>
                  <c15:bubble3D val="0"/>
                </c15:categoryFilterException>
              </c15:categoryFilterExceptions>
            </c:ext>
            <c:ext xmlns:c16="http://schemas.microsoft.com/office/drawing/2014/chart" uri="{C3380CC4-5D6E-409C-BE32-E72D297353CC}">
              <c16:uniqueId val="{00000002-01F0-4284-85DA-E88C62B7D3D3}"/>
            </c:ext>
          </c:extLst>
        </c:ser>
        <c:ser>
          <c:idx val="1"/>
          <c:order val="1"/>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Text!$T$385</c:f>
              <c:numCache>
                <c:formatCode>General</c:formatCode>
                <c:ptCount val="1"/>
                <c:pt idx="0">
                  <c:v>0</c:v>
                </c:pt>
              </c:numCache>
            </c:numRef>
          </c:val>
          <c:extLst>
            <c:ext xmlns:c16="http://schemas.microsoft.com/office/drawing/2014/chart" uri="{C3380CC4-5D6E-409C-BE32-E72D297353CC}">
              <c16:uniqueId val="{00000003-01F0-4284-85DA-E88C62B7D3D3}"/>
            </c:ext>
          </c:extLst>
        </c:ser>
        <c:ser>
          <c:idx val="2"/>
          <c:order val="2"/>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Text!$T$386</c:f>
              <c:numCache>
                <c:formatCode>General</c:formatCode>
                <c:ptCount val="1"/>
                <c:pt idx="0">
                  <c:v>0</c:v>
                </c:pt>
              </c:numCache>
            </c:numRef>
          </c:val>
          <c:extLst>
            <c:ext xmlns:c16="http://schemas.microsoft.com/office/drawing/2014/chart" uri="{C3380CC4-5D6E-409C-BE32-E72D297353CC}">
              <c16:uniqueId val="{00000004-01F0-4284-85DA-E88C62B7D3D3}"/>
            </c:ext>
          </c:extLst>
        </c:ser>
        <c:ser>
          <c:idx val="3"/>
          <c:order val="3"/>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Text!$T$387</c:f>
              <c:numCache>
                <c:formatCode>General</c:formatCode>
                <c:ptCount val="1"/>
                <c:pt idx="0">
                  <c:v>0</c:v>
                </c:pt>
              </c:numCache>
            </c:numRef>
          </c:val>
          <c:extLst>
            <c:ext xmlns:c16="http://schemas.microsoft.com/office/drawing/2014/chart" uri="{C3380CC4-5D6E-409C-BE32-E72D297353CC}">
              <c16:uniqueId val="{00000005-01F0-4284-85DA-E88C62B7D3D3}"/>
            </c:ext>
          </c:extLst>
        </c:ser>
        <c:ser>
          <c:idx val="4"/>
          <c:order val="4"/>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Text!$T$388</c:f>
              <c:numCache>
                <c:formatCode>General</c:formatCode>
                <c:ptCount val="1"/>
                <c:pt idx="0">
                  <c:v>-0.5</c:v>
                </c:pt>
              </c:numCache>
            </c:numRef>
          </c:val>
          <c:extLst>
            <c:ext xmlns:c16="http://schemas.microsoft.com/office/drawing/2014/chart" uri="{C3380CC4-5D6E-409C-BE32-E72D297353CC}">
              <c16:uniqueId val="{00000006-01F0-4284-85DA-E88C62B7D3D3}"/>
            </c:ext>
          </c:extLst>
        </c:ser>
        <c:ser>
          <c:idx val="5"/>
          <c:order val="5"/>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Text!$T$389</c:f>
              <c:numCache>
                <c:formatCode>General</c:formatCode>
                <c:ptCount val="1"/>
                <c:pt idx="0">
                  <c:v>-0.15</c:v>
                </c:pt>
              </c:numCache>
            </c:numRef>
          </c:val>
          <c:extLst>
            <c:ext xmlns:c16="http://schemas.microsoft.com/office/drawing/2014/chart" uri="{C3380CC4-5D6E-409C-BE32-E72D297353CC}">
              <c16:uniqueId val="{00000007-01F0-4284-85DA-E88C62B7D3D3}"/>
            </c:ext>
          </c:extLst>
        </c:ser>
        <c:ser>
          <c:idx val="6"/>
          <c:order val="6"/>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Text!$T$390</c:f>
              <c:numCache>
                <c:formatCode>General</c:formatCode>
                <c:ptCount val="1"/>
                <c:pt idx="0">
                  <c:v>-0.2</c:v>
                </c:pt>
              </c:numCache>
            </c:numRef>
          </c:val>
          <c:extLst>
            <c:ext xmlns:c16="http://schemas.microsoft.com/office/drawing/2014/chart" uri="{C3380CC4-5D6E-409C-BE32-E72D297353CC}">
              <c16:uniqueId val="{00000008-01F0-4284-85DA-E88C62B7D3D3}"/>
            </c:ext>
          </c:extLst>
        </c:ser>
        <c:ser>
          <c:idx val="7"/>
          <c:order val="7"/>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Text!$T$391</c:f>
              <c:numCache>
                <c:formatCode>General</c:formatCode>
                <c:ptCount val="1"/>
                <c:pt idx="0">
                  <c:v>-0.15</c:v>
                </c:pt>
              </c:numCache>
            </c:numRef>
          </c:val>
          <c:extLst>
            <c:ext xmlns:c16="http://schemas.microsoft.com/office/drawing/2014/chart" uri="{C3380CC4-5D6E-409C-BE32-E72D297353CC}">
              <c16:uniqueId val="{00000009-01F0-4284-85DA-E88C62B7D3D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1-184D-420D-ACC5-5413FA13733F}"/>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Text!$Z$384</c:f>
              <c:numCache>
                <c:formatCode>General</c:formatCode>
                <c:ptCount val="1"/>
                <c:pt idx="0">
                  <c:v>0</c:v>
                </c:pt>
              </c:numCache>
            </c:numRef>
          </c:val>
          <c:extLst>
            <c:ext xmlns:c16="http://schemas.microsoft.com/office/drawing/2014/chart" uri="{C3380CC4-5D6E-409C-BE32-E72D297353CC}">
              <c16:uniqueId val="{00000002-184D-420D-ACC5-5413FA13733F}"/>
            </c:ext>
          </c:extLst>
        </c:ser>
        <c:ser>
          <c:idx val="1"/>
          <c:order val="1"/>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Text!$Z$385</c:f>
              <c:numCache>
                <c:formatCode>General</c:formatCode>
                <c:ptCount val="1"/>
                <c:pt idx="0">
                  <c:v>0</c:v>
                </c:pt>
              </c:numCache>
            </c:numRef>
          </c:val>
          <c:extLst>
            <c:ext xmlns:c16="http://schemas.microsoft.com/office/drawing/2014/chart" uri="{C3380CC4-5D6E-409C-BE32-E72D297353CC}">
              <c16:uniqueId val="{00000003-184D-420D-ACC5-5413FA13733F}"/>
            </c:ext>
          </c:extLst>
        </c:ser>
        <c:ser>
          <c:idx val="2"/>
          <c:order val="2"/>
          <c:spPr>
            <a:solidFill>
              <a:srgbClr val="FFC000">
                <a:lumMod val="20000"/>
                <a:lumOff val="80000"/>
              </a:srgbClr>
            </a:solidFill>
            <a:ln>
              <a:solidFill>
                <a:srgbClr val="FFC000">
                  <a:lumMod val="75000"/>
                </a:srgbClr>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2-B45C-4E57-959F-76D58180A46F}"/>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Text!$Z$386</c:f>
              <c:numCache>
                <c:formatCode>General</c:formatCode>
                <c:ptCount val="1"/>
                <c:pt idx="0">
                  <c:v>0</c:v>
                </c:pt>
              </c:numCache>
            </c:numRef>
          </c:val>
          <c:extLst>
            <c:ext xmlns:c16="http://schemas.microsoft.com/office/drawing/2014/chart" uri="{C3380CC4-5D6E-409C-BE32-E72D297353CC}">
              <c16:uniqueId val="{00000004-184D-420D-ACC5-5413FA13733F}"/>
            </c:ext>
          </c:extLst>
        </c:ser>
        <c:ser>
          <c:idx val="3"/>
          <c:order val="3"/>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Text!$Z$387</c:f>
              <c:numCache>
                <c:formatCode>General</c:formatCode>
                <c:ptCount val="1"/>
                <c:pt idx="0">
                  <c:v>0</c:v>
                </c:pt>
              </c:numCache>
            </c:numRef>
          </c:val>
          <c:extLst>
            <c:ext xmlns:c16="http://schemas.microsoft.com/office/drawing/2014/chart" uri="{C3380CC4-5D6E-409C-BE32-E72D297353CC}">
              <c16:uniqueId val="{00000005-184D-420D-ACC5-5413FA13733F}"/>
            </c:ext>
          </c:extLst>
        </c:ser>
        <c:ser>
          <c:idx val="4"/>
          <c:order val="4"/>
          <c:spPr>
            <a:solidFill>
              <a:srgbClr val="FFC000">
                <a:lumMod val="20000"/>
                <a:lumOff val="80000"/>
              </a:srgbClr>
            </a:solidFill>
            <a:ln>
              <a:solidFill>
                <a:srgbClr val="FFC000">
                  <a:lumMod val="75000"/>
                </a:srgbClr>
              </a:solidFill>
            </a:ln>
            <a:effectLst/>
          </c:spPr>
          <c:invertIfNegative val="0"/>
          <c:dPt>
            <c:idx val="0"/>
            <c:invertIfNegative val="0"/>
            <c:bubble3D val="0"/>
            <c:spPr>
              <a:solidFill>
                <a:sysClr val="window" lastClr="FFFFFF"/>
              </a:solidFill>
              <a:ln>
                <a:solidFill>
                  <a:srgbClr val="FFC000">
                    <a:lumMod val="75000"/>
                  </a:srgbClr>
                </a:solidFill>
              </a:ln>
              <a:effectLst/>
            </c:spPr>
            <c:extLst>
              <c:ext xmlns:c16="http://schemas.microsoft.com/office/drawing/2014/chart" uri="{C3380CC4-5D6E-409C-BE32-E72D297353CC}">
                <c16:uniqueId val="{00000004-2381-40D6-A5D7-796E634D4DD8}"/>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Text!$Z$388</c:f>
              <c:numCache>
                <c:formatCode>General</c:formatCode>
                <c:ptCount val="1"/>
                <c:pt idx="0">
                  <c:v>0.5</c:v>
                </c:pt>
              </c:numCache>
            </c:numRef>
          </c:val>
          <c:extLst>
            <c:ext xmlns:c16="http://schemas.microsoft.com/office/drawing/2014/chart" uri="{C3380CC4-5D6E-409C-BE32-E72D297353CC}">
              <c16:uniqueId val="{00000006-184D-420D-ACC5-5413FA13733F}"/>
            </c:ext>
          </c:extLst>
        </c:ser>
        <c:ser>
          <c:idx val="5"/>
          <c:order val="5"/>
          <c:spPr>
            <a:noFill/>
            <a:ln>
              <a:no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Text!$Z$389</c:f>
              <c:numCache>
                <c:formatCode>General</c:formatCode>
                <c:ptCount val="1"/>
                <c:pt idx="0">
                  <c:v>0.15</c:v>
                </c:pt>
              </c:numCache>
            </c:numRef>
          </c:val>
          <c:extLst>
            <c:ext xmlns:c16="http://schemas.microsoft.com/office/drawing/2014/chart" uri="{C3380CC4-5D6E-409C-BE32-E72D297353CC}">
              <c16:uniqueId val="{00000007-184D-420D-ACC5-5413FA13733F}"/>
            </c:ext>
          </c:extLst>
        </c:ser>
        <c:ser>
          <c:idx val="6"/>
          <c:order val="6"/>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Text!$Z$390</c:f>
              <c:numCache>
                <c:formatCode>General</c:formatCode>
                <c:ptCount val="1"/>
                <c:pt idx="0">
                  <c:v>0.2</c:v>
                </c:pt>
              </c:numCache>
            </c:numRef>
          </c:val>
          <c:extLst>
            <c:ext xmlns:c16="http://schemas.microsoft.com/office/drawing/2014/chart" uri="{C3380CC4-5D6E-409C-BE32-E72D297353CC}">
              <c16:uniqueId val="{00000008-184D-420D-ACC5-5413FA13733F}"/>
            </c:ext>
          </c:extLst>
        </c:ser>
        <c:ser>
          <c:idx val="7"/>
          <c:order val="7"/>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Text!$Z$391</c:f>
              <c:numCache>
                <c:formatCode>General</c:formatCode>
                <c:ptCount val="1"/>
                <c:pt idx="0">
                  <c:v>0.15</c:v>
                </c:pt>
              </c:numCache>
            </c:numRef>
          </c:val>
          <c:extLst>
            <c:ext xmlns:c16="http://schemas.microsoft.com/office/drawing/2014/chart" uri="{C3380CC4-5D6E-409C-BE32-E72D297353CC}">
              <c16:uniqueId val="{00000009-184D-420D-ACC5-5413FA13733F}"/>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solidFill>
          <a:sysClr val="window" lastClr="FFFFFF"/>
        </a:solid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w="25400">
              <a:noFill/>
            </a:ln>
            <a:effectLst/>
          </c:spPr>
          <c:dLbls>
            <c:delete val="1"/>
          </c:dLbls>
          <c:cat>
            <c:strRef>
              <c:f>Text!$X$394</c:f>
              <c:strCache>
                <c:ptCount val="1"/>
                <c:pt idx="0">
                  <c:v>100 %                </c:v>
                </c:pt>
              </c:strCache>
            </c:strRef>
          </c:cat>
          <c:val>
            <c:numRef>
              <c:f>(Text!$AE$393:$AE$396,Text!$AE$397:$AE$398,Text!$AE$399:$AE$401)</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9107-43E5-81AF-86B45DAADF79}"/>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65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a:blip xmlns:r="http://schemas.openxmlformats.org/officeDocument/2006/relationships" r:embed="rId3"/>
      <a:stretch>
        <a:fillRect l="1000" t="4000"/>
      </a:stretch>
    </a:blipFill>
    <a:ln w="9525" cap="flat" cmpd="sng" algn="ctr">
      <a:noFill/>
      <a:round/>
    </a:ln>
    <a:effectLst/>
  </c:spPr>
  <c:txPr>
    <a:bodyPr/>
    <a:lstStyle/>
    <a:p>
      <a:pPr>
        <a:defRPr sz="550"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ysClr val="window" lastClr="FFFFFF"/>
            </a:solidFill>
            <a:ln>
              <a:solidFill>
                <a:srgbClr val="E30613"/>
              </a:solidFill>
            </a:ln>
            <a:effectLst/>
          </c:spPr>
          <c:invertIfNegative val="0"/>
          <c:dPt>
            <c:idx val="0"/>
            <c:invertIfNegative val="0"/>
            <c:bubble3D val="0"/>
            <c:spPr>
              <a:solidFill>
                <a:srgbClr val="F29CA4"/>
              </a:solidFill>
              <a:ln>
                <a:solidFill>
                  <a:srgbClr val="E30613"/>
                </a:solidFill>
              </a:ln>
              <a:effectLst/>
            </c:spPr>
            <c:extLst>
              <c:ext xmlns:c16="http://schemas.microsoft.com/office/drawing/2014/chart" uri="{C3380CC4-5D6E-409C-BE32-E72D297353CC}">
                <c16:uniqueId val="{00000001-E324-427C-A5FD-859931BFFBA8}"/>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Text!$Q$384</c:f>
              <c:numCache>
                <c:formatCode>General</c:formatCode>
                <c:ptCount val="1"/>
                <c:pt idx="0">
                  <c:v>0</c:v>
                </c:pt>
              </c:numCache>
            </c:numRef>
          </c:val>
          <c:extLst>
            <c:ext xmlns:c15="http://schemas.microsoft.com/office/drawing/2012/chart" uri="{02D57815-91ED-43cb-92C2-25804820EDAC}">
              <c15:categoryFilterExceptions>
                <c15:categoryFilterException>
                  <c15:sqref>Text!$T$384</c15:sqref>
                  <c15:spPr xmlns:c15="http://schemas.microsoft.com/office/drawing/2012/chart">
                    <a:solidFill>
                      <a:srgbClr val="FFC000">
                        <a:lumMod val="20000"/>
                        <a:lumOff val="80000"/>
                      </a:srgbClr>
                    </a:solidFill>
                    <a:ln>
                      <a:solidFill>
                        <a:srgbClr val="E30613"/>
                      </a:solidFill>
                    </a:ln>
                    <a:effectLst/>
                  </c15:spPr>
                </c15:categoryFilterException>
              </c15:categoryFilterExceptions>
            </c:ext>
            <c:ext xmlns:c16="http://schemas.microsoft.com/office/drawing/2014/chart" uri="{C3380CC4-5D6E-409C-BE32-E72D297353CC}">
              <c16:uniqueId val="{00000002-E324-427C-A5FD-859931BFFBA8}"/>
            </c:ext>
          </c:extLst>
        </c:ser>
        <c:ser>
          <c:idx val="1"/>
          <c:order val="1"/>
          <c:spPr>
            <a:solidFill>
              <a:srgbClr val="F29CA4"/>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Text!$Q$385</c:f>
              <c:numCache>
                <c:formatCode>General</c:formatCode>
                <c:ptCount val="1"/>
                <c:pt idx="0">
                  <c:v>0</c:v>
                </c:pt>
              </c:numCache>
            </c:numRef>
          </c:val>
          <c:extLst>
            <c:ext xmlns:c16="http://schemas.microsoft.com/office/drawing/2014/chart" uri="{C3380CC4-5D6E-409C-BE32-E72D297353CC}">
              <c16:uniqueId val="{00000003-E324-427C-A5FD-859931BFFBA8}"/>
            </c:ext>
          </c:extLst>
        </c:ser>
        <c:ser>
          <c:idx val="2"/>
          <c:order val="2"/>
          <c:spPr>
            <a:solidFill>
              <a:srgbClr val="F29CA4"/>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Text!$Q$386</c:f>
              <c:numCache>
                <c:formatCode>General</c:formatCode>
                <c:ptCount val="1"/>
                <c:pt idx="0">
                  <c:v>0</c:v>
                </c:pt>
              </c:numCache>
            </c:numRef>
          </c:val>
          <c:extLst>
            <c:ext xmlns:c16="http://schemas.microsoft.com/office/drawing/2014/chart" uri="{C3380CC4-5D6E-409C-BE32-E72D297353CC}">
              <c16:uniqueId val="{00000004-E324-427C-A5FD-859931BFFBA8}"/>
            </c:ext>
          </c:extLst>
        </c:ser>
        <c:ser>
          <c:idx val="3"/>
          <c:order val="3"/>
          <c:spPr>
            <a:solidFill>
              <a:srgbClr val="FFD1D1"/>
            </a:solidFill>
            <a:ln>
              <a:solidFill>
                <a:srgbClr val="E30613"/>
              </a:solidFill>
            </a:ln>
            <a:effectLst/>
          </c:spPr>
          <c:invertIfNegative val="0"/>
          <c:dPt>
            <c:idx val="0"/>
            <c:invertIfNegative val="0"/>
            <c:bubble3D val="0"/>
            <c:spPr>
              <a:solidFill>
                <a:srgbClr val="F29CA4"/>
              </a:solidFill>
              <a:ln>
                <a:solidFill>
                  <a:srgbClr val="E30613"/>
                </a:solidFill>
              </a:ln>
              <a:effectLst/>
            </c:spPr>
            <c:extLst>
              <c:ext xmlns:c16="http://schemas.microsoft.com/office/drawing/2014/chart" uri="{C3380CC4-5D6E-409C-BE32-E72D297353CC}">
                <c16:uniqueId val="{00000006-E324-427C-A5FD-859931BFFBA8}"/>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Text!$Q$387</c:f>
              <c:numCache>
                <c:formatCode>General</c:formatCode>
                <c:ptCount val="1"/>
                <c:pt idx="0">
                  <c:v>0</c:v>
                </c:pt>
              </c:numCache>
            </c:numRef>
          </c:val>
          <c:extLst>
            <c:ext xmlns:c16="http://schemas.microsoft.com/office/drawing/2014/chart" uri="{C3380CC4-5D6E-409C-BE32-E72D297353CC}">
              <c16:uniqueId val="{00000007-E324-427C-A5FD-859931BFFBA8}"/>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Text!$Q$388</c:f>
              <c:numCache>
                <c:formatCode>General</c:formatCode>
                <c:ptCount val="1"/>
                <c:pt idx="0">
                  <c:v>-0.5</c:v>
                </c:pt>
              </c:numCache>
            </c:numRef>
          </c:val>
          <c:extLst>
            <c:ext xmlns:c16="http://schemas.microsoft.com/office/drawing/2014/chart" uri="{C3380CC4-5D6E-409C-BE32-E72D297353CC}">
              <c16:uniqueId val="{00000008-E324-427C-A5FD-859931BFFBA8}"/>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Text!$Q$389</c:f>
              <c:numCache>
                <c:formatCode>General</c:formatCode>
                <c:ptCount val="1"/>
                <c:pt idx="0">
                  <c:v>-0.15</c:v>
                </c:pt>
              </c:numCache>
            </c:numRef>
          </c:val>
          <c:extLst>
            <c:ext xmlns:c16="http://schemas.microsoft.com/office/drawing/2014/chart" uri="{C3380CC4-5D6E-409C-BE32-E72D297353CC}">
              <c16:uniqueId val="{00000009-E324-427C-A5FD-859931BFFBA8}"/>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Text!$Q$390</c:f>
              <c:numCache>
                <c:formatCode>General</c:formatCode>
                <c:ptCount val="1"/>
                <c:pt idx="0">
                  <c:v>-0.2</c:v>
                </c:pt>
              </c:numCache>
            </c:numRef>
          </c:val>
          <c:extLst>
            <c:ext xmlns:c16="http://schemas.microsoft.com/office/drawing/2014/chart" uri="{C3380CC4-5D6E-409C-BE32-E72D297353CC}">
              <c16:uniqueId val="{0000000A-E324-427C-A5FD-859931BFFBA8}"/>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Text!$Q$391</c:f>
              <c:numCache>
                <c:formatCode>General</c:formatCode>
                <c:ptCount val="1"/>
                <c:pt idx="0">
                  <c:v>-0.15</c:v>
                </c:pt>
              </c:numCache>
            </c:numRef>
          </c:val>
          <c:extLst>
            <c:ext xmlns:c16="http://schemas.microsoft.com/office/drawing/2014/chart" uri="{C3380CC4-5D6E-409C-BE32-E72D297353CC}">
              <c16:uniqueId val="{0000000B-E324-427C-A5FD-859931BFFBA8}"/>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solidFill>
            <a:srgbClr val="000000"/>
          </a:solidFill>
        </a:defRPr>
      </a:pPr>
      <a:endParaRPr lang="de-DE"/>
    </a:p>
  </c:tx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7CED3"/>
            </a:solidFill>
            <a:ln>
              <a:solidFill>
                <a:srgbClr val="E30613"/>
              </a:solidFill>
            </a:ln>
            <a:effectLst/>
          </c:spPr>
          <c:invertIfNegative val="0"/>
          <c:dPt>
            <c:idx val="0"/>
            <c:invertIfNegative val="0"/>
            <c:bubble3D val="0"/>
            <c:spPr>
              <a:solidFill>
                <a:srgbClr val="FFD1D1"/>
              </a:solidFill>
              <a:ln>
                <a:solidFill>
                  <a:srgbClr val="E30613"/>
                </a:solidFill>
              </a:ln>
              <a:effectLst/>
            </c:spPr>
            <c:extLst>
              <c:ext xmlns:c16="http://schemas.microsoft.com/office/drawing/2014/chart" uri="{C3380CC4-5D6E-409C-BE32-E72D297353CC}">
                <c16:uniqueId val="{00000002-5B79-4361-BEAB-B41563886C68}"/>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Text!$W$384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7CED3"/>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0-AA58-4758-B65F-3FC8DFB5FCEF}"/>
            </c:ext>
          </c:extLst>
        </c:ser>
        <c:ser>
          <c:idx val="1"/>
          <c:order val="1"/>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Text!$W$385</c:f>
              <c:numCache>
                <c:formatCode>General</c:formatCode>
                <c:ptCount val="1"/>
                <c:pt idx="0">
                  <c:v>0</c:v>
                </c:pt>
              </c:numCache>
            </c:numRef>
          </c:val>
          <c:extLst>
            <c:ext xmlns:c16="http://schemas.microsoft.com/office/drawing/2014/chart" uri="{C3380CC4-5D6E-409C-BE32-E72D297353CC}">
              <c16:uniqueId val="{00000001-AA58-4758-B65F-3FC8DFB5FCEF}"/>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Text!$W$386</c:f>
              <c:numCache>
                <c:formatCode>General</c:formatCode>
                <c:ptCount val="1"/>
                <c:pt idx="0">
                  <c:v>0</c:v>
                </c:pt>
              </c:numCache>
            </c:numRef>
          </c:val>
          <c:extLst>
            <c:ext xmlns:c16="http://schemas.microsoft.com/office/drawing/2014/chart" uri="{C3380CC4-5D6E-409C-BE32-E72D297353CC}">
              <c16:uniqueId val="{00000002-AA58-4758-B65F-3FC8DFB5FCEF}"/>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Text!$W$387</c:f>
              <c:numCache>
                <c:formatCode>General</c:formatCode>
                <c:ptCount val="1"/>
                <c:pt idx="0">
                  <c:v>0</c:v>
                </c:pt>
              </c:numCache>
            </c:numRef>
          </c:val>
          <c:extLst>
            <c:ext xmlns:c16="http://schemas.microsoft.com/office/drawing/2014/chart" uri="{C3380CC4-5D6E-409C-BE32-E72D297353CC}">
              <c16:uniqueId val="{00000003-AA58-4758-B65F-3FC8DFB5FCEF}"/>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Text!$W$388</c:f>
              <c:numCache>
                <c:formatCode>General</c:formatCode>
                <c:ptCount val="1"/>
                <c:pt idx="0">
                  <c:v>0.5</c:v>
                </c:pt>
              </c:numCache>
            </c:numRef>
          </c:val>
          <c:extLst>
            <c:ext xmlns:c16="http://schemas.microsoft.com/office/drawing/2014/chart" uri="{C3380CC4-5D6E-409C-BE32-E72D297353CC}">
              <c16:uniqueId val="{00000004-AA58-4758-B65F-3FC8DFB5FCEF}"/>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Text!$W$389</c:f>
              <c:numCache>
                <c:formatCode>General</c:formatCode>
                <c:ptCount val="1"/>
                <c:pt idx="0">
                  <c:v>0.15</c:v>
                </c:pt>
              </c:numCache>
            </c:numRef>
          </c:val>
          <c:extLst>
            <c:ext xmlns:c16="http://schemas.microsoft.com/office/drawing/2014/chart" uri="{C3380CC4-5D6E-409C-BE32-E72D297353CC}">
              <c16:uniqueId val="{00000005-AA58-4758-B65F-3FC8DFB5FCEF}"/>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Text!$W$390</c:f>
              <c:numCache>
                <c:formatCode>General</c:formatCode>
                <c:ptCount val="1"/>
                <c:pt idx="0">
                  <c:v>0.2</c:v>
                </c:pt>
              </c:numCache>
            </c:numRef>
          </c:val>
          <c:extLst>
            <c:ext xmlns:c16="http://schemas.microsoft.com/office/drawing/2014/chart" uri="{C3380CC4-5D6E-409C-BE32-E72D297353CC}">
              <c16:uniqueId val="{00000006-AA58-4758-B65F-3FC8DFB5FCEF}"/>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Text!$W$391</c:f>
              <c:numCache>
                <c:formatCode>General</c:formatCode>
                <c:ptCount val="1"/>
                <c:pt idx="0">
                  <c:v>0.15</c:v>
                </c:pt>
              </c:numCache>
            </c:numRef>
          </c:val>
          <c:extLst>
            <c:ext xmlns:c16="http://schemas.microsoft.com/office/drawing/2014/chart" uri="{C3380CC4-5D6E-409C-BE32-E72D297353CC}">
              <c16:uniqueId val="{00000007-AA58-4758-B65F-3FC8DFB5FCEF}"/>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94D0E8"/>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Text!$R$384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94D0E8"/>
                    </a:solidFill>
                    <a:ln>
                      <a:solidFill>
                        <a:srgbClr val="36B7DA"/>
                      </a:solidFill>
                    </a:ln>
                    <a:effectLst/>
                  </c15:spPr>
                  <c15:invertIfNegative val="0"/>
                  <c15:bubble3D val="0"/>
                </c15:categoryFilterException>
                <c15:categoryFilterException>
                  <c15:sqref>Text!$T$384</c15:sqref>
                  <c15:spPr xmlns:c15="http://schemas.microsoft.com/office/drawing/2012/chart">
                    <a:solidFill>
                      <a:srgbClr val="94D0E8"/>
                    </a:solidFill>
                    <a:ln>
                      <a:solidFill>
                        <a:srgbClr val="36B7DA"/>
                      </a:solidFill>
                    </a:ln>
                    <a:effectLst/>
                  </c15:spPr>
                  <c15:invertIfNegative val="0"/>
                  <c15:bubble3D val="0"/>
                </c15:categoryFilterException>
              </c15:categoryFilterExceptions>
            </c:ext>
            <c:ext xmlns:c16="http://schemas.microsoft.com/office/drawing/2014/chart" uri="{C3380CC4-5D6E-409C-BE32-E72D297353CC}">
              <c16:uniqueId val="{00000000-908F-4269-B309-BD2F277A5366}"/>
            </c:ext>
          </c:extLst>
        </c:ser>
        <c:ser>
          <c:idx val="1"/>
          <c:order val="1"/>
          <c:spPr>
            <a:solidFill>
              <a:srgbClr val="94D0E8"/>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Text!$R$385</c:f>
              <c:numCache>
                <c:formatCode>General</c:formatCode>
                <c:ptCount val="1"/>
                <c:pt idx="0">
                  <c:v>0</c:v>
                </c:pt>
              </c:numCache>
            </c:numRef>
          </c:val>
          <c:extLst>
            <c:ext xmlns:c16="http://schemas.microsoft.com/office/drawing/2014/chart" uri="{C3380CC4-5D6E-409C-BE32-E72D297353CC}">
              <c16:uniqueId val="{00000001-908F-4269-B309-BD2F277A5366}"/>
            </c:ext>
          </c:extLst>
        </c:ser>
        <c:ser>
          <c:idx val="2"/>
          <c:order val="2"/>
          <c:spPr>
            <a:solidFill>
              <a:srgbClr val="94D0E8"/>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Text!$R$386</c:f>
              <c:numCache>
                <c:formatCode>General</c:formatCode>
                <c:ptCount val="1"/>
                <c:pt idx="0">
                  <c:v>0</c:v>
                </c:pt>
              </c:numCache>
            </c:numRef>
          </c:val>
          <c:extLst>
            <c:ext xmlns:c16="http://schemas.microsoft.com/office/drawing/2014/chart" uri="{C3380CC4-5D6E-409C-BE32-E72D297353CC}">
              <c16:uniqueId val="{00000002-908F-4269-B309-BD2F277A5366}"/>
            </c:ext>
          </c:extLst>
        </c:ser>
        <c:ser>
          <c:idx val="3"/>
          <c:order val="3"/>
          <c:spPr>
            <a:solidFill>
              <a:srgbClr val="94D0E8"/>
            </a:solidFill>
            <a:ln>
              <a:solidFill>
                <a:srgbClr val="36B7DA"/>
              </a:solidFill>
            </a:ln>
            <a:effectLst/>
          </c:spPr>
          <c:invertIfNegative val="0"/>
          <c:dPt>
            <c:idx val="0"/>
            <c:invertIfNegative val="0"/>
            <c:bubble3D val="0"/>
            <c:spPr>
              <a:solidFill>
                <a:srgbClr val="94D0E8"/>
              </a:solidFill>
              <a:ln>
                <a:solidFill>
                  <a:srgbClr val="36B7DA"/>
                </a:solidFill>
              </a:ln>
              <a:effectLst/>
            </c:spPr>
            <c:extLst>
              <c:ext xmlns:c16="http://schemas.microsoft.com/office/drawing/2014/chart" uri="{C3380CC4-5D6E-409C-BE32-E72D297353CC}">
                <c16:uniqueId val="{00000004-908F-4269-B309-BD2F277A5366}"/>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Text!$R$387</c:f>
              <c:numCache>
                <c:formatCode>General</c:formatCode>
                <c:ptCount val="1"/>
                <c:pt idx="0">
                  <c:v>0</c:v>
                </c:pt>
              </c:numCache>
            </c:numRef>
          </c:val>
          <c:extLst>
            <c:ext xmlns:c16="http://schemas.microsoft.com/office/drawing/2014/chart" uri="{C3380CC4-5D6E-409C-BE32-E72D297353CC}">
              <c16:uniqueId val="{00000005-908F-4269-B309-BD2F277A5366}"/>
            </c:ext>
          </c:extLst>
        </c:ser>
        <c:ser>
          <c:idx val="4"/>
          <c:order val="4"/>
          <c:spPr>
            <a:solidFill>
              <a:sysClr val="window" lastClr="FFFFFF"/>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Text!$R$388</c:f>
              <c:numCache>
                <c:formatCode>General</c:formatCode>
                <c:ptCount val="1"/>
                <c:pt idx="0">
                  <c:v>-0.5</c:v>
                </c:pt>
              </c:numCache>
            </c:numRef>
          </c:val>
          <c:extLst>
            <c:ext xmlns:c16="http://schemas.microsoft.com/office/drawing/2014/chart" uri="{C3380CC4-5D6E-409C-BE32-E72D297353CC}">
              <c16:uniqueId val="{00000006-908F-4269-B309-BD2F277A5366}"/>
            </c:ext>
          </c:extLst>
        </c:ser>
        <c:ser>
          <c:idx val="5"/>
          <c:order val="5"/>
          <c:spPr>
            <a:solidFill>
              <a:sysClr val="window" lastClr="FFFFFF"/>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Text!$R$389</c:f>
              <c:numCache>
                <c:formatCode>General</c:formatCode>
                <c:ptCount val="1"/>
                <c:pt idx="0">
                  <c:v>-0.15</c:v>
                </c:pt>
              </c:numCache>
            </c:numRef>
          </c:val>
          <c:extLst>
            <c:ext xmlns:c16="http://schemas.microsoft.com/office/drawing/2014/chart" uri="{C3380CC4-5D6E-409C-BE32-E72D297353CC}">
              <c16:uniqueId val="{00000007-908F-4269-B309-BD2F277A5366}"/>
            </c:ext>
          </c:extLst>
        </c:ser>
        <c:ser>
          <c:idx val="6"/>
          <c:order val="6"/>
          <c:spPr>
            <a:solidFill>
              <a:sysClr val="window" lastClr="FFFFFF"/>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Text!$R$390</c:f>
              <c:numCache>
                <c:formatCode>General</c:formatCode>
                <c:ptCount val="1"/>
                <c:pt idx="0">
                  <c:v>-0.2</c:v>
                </c:pt>
              </c:numCache>
            </c:numRef>
          </c:val>
          <c:extLst>
            <c:ext xmlns:c16="http://schemas.microsoft.com/office/drawing/2014/chart" uri="{C3380CC4-5D6E-409C-BE32-E72D297353CC}">
              <c16:uniqueId val="{00000008-908F-4269-B309-BD2F277A5366}"/>
            </c:ext>
          </c:extLst>
        </c:ser>
        <c:ser>
          <c:idx val="7"/>
          <c:order val="7"/>
          <c:spPr>
            <a:solidFill>
              <a:sysClr val="window" lastClr="FFFFFF"/>
            </a:solidFill>
            <a:ln>
              <a:solidFill>
                <a:srgbClr val="36B7DA"/>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Text!$R$391</c:f>
              <c:numCache>
                <c:formatCode>General</c:formatCode>
                <c:ptCount val="1"/>
                <c:pt idx="0">
                  <c:v>-0.15</c:v>
                </c:pt>
              </c:numCache>
            </c:numRef>
          </c:val>
          <c:extLst>
            <c:ext xmlns:c16="http://schemas.microsoft.com/office/drawing/2014/chart" uri="{C3380CC4-5D6E-409C-BE32-E72D297353CC}">
              <c16:uniqueId val="{00000009-908F-4269-B309-BD2F277A5366}"/>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36B7DA"/>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1-2532-4D3E-BFC4-2B988AB0642C}"/>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Text!$X$384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CCE9F4"/>
                    </a:solidFill>
                    <a:ln>
                      <a:solidFill>
                        <a:srgbClr val="5DC4E1"/>
                      </a:solidFill>
                    </a:ln>
                    <a:effectLst/>
                  </c15:spPr>
                  <c15:invertIfNegative val="0"/>
                  <c15:bubble3D val="0"/>
                </c15:categoryFilterException>
              </c15:categoryFilterExceptions>
            </c:ext>
            <c:ext xmlns:c16="http://schemas.microsoft.com/office/drawing/2014/chart" uri="{C3380CC4-5D6E-409C-BE32-E72D297353CC}">
              <c16:uniqueId val="{00000002-2532-4D3E-BFC4-2B988AB0642C}"/>
            </c:ext>
          </c:extLst>
        </c:ser>
        <c:ser>
          <c:idx val="1"/>
          <c:order val="1"/>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4-2532-4D3E-BFC4-2B988AB0642C}"/>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Text!$X$385</c:f>
              <c:numCache>
                <c:formatCode>General</c:formatCode>
                <c:ptCount val="1"/>
                <c:pt idx="0">
                  <c:v>0</c:v>
                </c:pt>
              </c:numCache>
            </c:numRef>
          </c:val>
          <c:extLst>
            <c:ext xmlns:c16="http://schemas.microsoft.com/office/drawing/2014/chart" uri="{C3380CC4-5D6E-409C-BE32-E72D297353CC}">
              <c16:uniqueId val="{00000005-2532-4D3E-BFC4-2B988AB0642C}"/>
            </c:ext>
          </c:extLst>
        </c:ser>
        <c:ser>
          <c:idx val="2"/>
          <c:order val="2"/>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Text!$X$386</c:f>
              <c:numCache>
                <c:formatCode>General</c:formatCode>
                <c:ptCount val="1"/>
                <c:pt idx="0">
                  <c:v>0</c:v>
                </c:pt>
              </c:numCache>
            </c:numRef>
          </c:val>
          <c:extLst>
            <c:ext xmlns:c16="http://schemas.microsoft.com/office/drawing/2014/chart" uri="{C3380CC4-5D6E-409C-BE32-E72D297353CC}">
              <c16:uniqueId val="{00000006-2532-4D3E-BFC4-2B988AB0642C}"/>
            </c:ext>
          </c:extLst>
        </c:ser>
        <c:ser>
          <c:idx val="3"/>
          <c:order val="3"/>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Text!$X$387</c:f>
              <c:numCache>
                <c:formatCode>General</c:formatCode>
                <c:ptCount val="1"/>
                <c:pt idx="0">
                  <c:v>0</c:v>
                </c:pt>
              </c:numCache>
            </c:numRef>
          </c:val>
          <c:extLst>
            <c:ext xmlns:c16="http://schemas.microsoft.com/office/drawing/2014/chart" uri="{C3380CC4-5D6E-409C-BE32-E72D297353CC}">
              <c16:uniqueId val="{00000007-2532-4D3E-BFC4-2B988AB0642C}"/>
            </c:ext>
          </c:extLst>
        </c:ser>
        <c:ser>
          <c:idx val="4"/>
          <c:order val="4"/>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Text!$X$388</c:f>
              <c:numCache>
                <c:formatCode>General</c:formatCode>
                <c:ptCount val="1"/>
                <c:pt idx="0">
                  <c:v>0.5</c:v>
                </c:pt>
              </c:numCache>
            </c:numRef>
          </c:val>
          <c:extLst>
            <c:ext xmlns:c16="http://schemas.microsoft.com/office/drawing/2014/chart" uri="{C3380CC4-5D6E-409C-BE32-E72D297353CC}">
              <c16:uniqueId val="{00000008-2532-4D3E-BFC4-2B988AB0642C}"/>
            </c:ext>
          </c:extLst>
        </c:ser>
        <c:ser>
          <c:idx val="5"/>
          <c:order val="5"/>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Text!$X$389</c:f>
              <c:numCache>
                <c:formatCode>General</c:formatCode>
                <c:ptCount val="1"/>
                <c:pt idx="0">
                  <c:v>0.15</c:v>
                </c:pt>
              </c:numCache>
            </c:numRef>
          </c:val>
          <c:extLst>
            <c:ext xmlns:c16="http://schemas.microsoft.com/office/drawing/2014/chart" uri="{C3380CC4-5D6E-409C-BE32-E72D297353CC}">
              <c16:uniqueId val="{00000009-2532-4D3E-BFC4-2B988AB0642C}"/>
            </c:ext>
          </c:extLst>
        </c:ser>
        <c:ser>
          <c:idx val="6"/>
          <c:order val="6"/>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Text!$X$390</c:f>
              <c:numCache>
                <c:formatCode>General</c:formatCode>
                <c:ptCount val="1"/>
                <c:pt idx="0">
                  <c:v>0.2</c:v>
                </c:pt>
              </c:numCache>
            </c:numRef>
          </c:val>
          <c:extLst>
            <c:ext xmlns:c16="http://schemas.microsoft.com/office/drawing/2014/chart" uri="{C3380CC4-5D6E-409C-BE32-E72D297353CC}">
              <c16:uniqueId val="{0000000A-2532-4D3E-BFC4-2B988AB0642C}"/>
            </c:ext>
          </c:extLst>
        </c:ser>
        <c:ser>
          <c:idx val="7"/>
          <c:order val="7"/>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Text!$X$391</c:f>
              <c:numCache>
                <c:formatCode>General</c:formatCode>
                <c:ptCount val="1"/>
                <c:pt idx="0">
                  <c:v>0.15</c:v>
                </c:pt>
              </c:numCache>
            </c:numRef>
          </c:val>
          <c:extLst>
            <c:ext xmlns:c16="http://schemas.microsoft.com/office/drawing/2014/chart" uri="{C3380CC4-5D6E-409C-BE32-E72D297353CC}">
              <c16:uniqueId val="{0000000B-2532-4D3E-BFC4-2B988AB0642C}"/>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6D383"/>
            </a:solidFill>
            <a:ln>
              <a:solidFill>
                <a:srgbClr val="76B729"/>
              </a:solidFill>
            </a:ln>
            <a:effectLst/>
          </c:spPr>
          <c:invertIfNegative val="0"/>
          <c:dPt>
            <c:idx val="0"/>
            <c:invertIfNegative val="0"/>
            <c:bubble3D val="0"/>
            <c:spPr>
              <a:solidFill>
                <a:srgbClr val="B6D383"/>
              </a:solidFill>
              <a:ln>
                <a:solidFill>
                  <a:srgbClr val="76B729"/>
                </a:solidFill>
              </a:ln>
              <a:effectLst/>
            </c:spPr>
            <c:extLst>
              <c:ext xmlns:c16="http://schemas.microsoft.com/office/drawing/2014/chart" uri="{C3380CC4-5D6E-409C-BE32-E72D297353CC}">
                <c16:uniqueId val="{00000001-7B0A-41A5-A89A-C27391B0A8F7}"/>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Text!$S$384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B6D383"/>
                    </a:solidFill>
                    <a:ln>
                      <a:solidFill>
                        <a:srgbClr val="76B729"/>
                      </a:solidFill>
                    </a:ln>
                    <a:effectLst/>
                  </c15:spPr>
                  <c15:invertIfNegative val="0"/>
                  <c15:bubble3D val="0"/>
                </c15:categoryFilterException>
                <c15:categoryFilterException>
                  <c15:sqref>Text!$T$384</c15:sqref>
                  <c15:spPr xmlns:c15="http://schemas.microsoft.com/office/drawing/2012/chart">
                    <a:solidFill>
                      <a:srgbClr val="B6D383"/>
                    </a:solidFill>
                    <a:ln>
                      <a:solidFill>
                        <a:srgbClr val="76B729"/>
                      </a:solidFill>
                    </a:ln>
                    <a:effectLst/>
                  </c15:spPr>
                  <c15:invertIfNegative val="0"/>
                  <c15:bubble3D val="0"/>
                </c15:categoryFilterException>
              </c15:categoryFilterExceptions>
            </c:ext>
            <c:ext xmlns:c16="http://schemas.microsoft.com/office/drawing/2014/chart" uri="{C3380CC4-5D6E-409C-BE32-E72D297353CC}">
              <c16:uniqueId val="{00000002-7B0A-41A5-A89A-C27391B0A8F7}"/>
            </c:ext>
          </c:extLst>
        </c:ser>
        <c:ser>
          <c:idx val="1"/>
          <c:order val="1"/>
          <c:spPr>
            <a:solidFill>
              <a:srgbClr val="B6D383"/>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Text!$S$385</c:f>
              <c:numCache>
                <c:formatCode>General</c:formatCode>
                <c:ptCount val="1"/>
                <c:pt idx="0">
                  <c:v>0</c:v>
                </c:pt>
              </c:numCache>
            </c:numRef>
          </c:val>
          <c:extLst>
            <c:ext xmlns:c16="http://schemas.microsoft.com/office/drawing/2014/chart" uri="{C3380CC4-5D6E-409C-BE32-E72D297353CC}">
              <c16:uniqueId val="{00000003-7B0A-41A5-A89A-C27391B0A8F7}"/>
            </c:ext>
          </c:extLst>
        </c:ser>
        <c:ser>
          <c:idx val="2"/>
          <c:order val="2"/>
          <c:spPr>
            <a:solidFill>
              <a:srgbClr val="B6D383"/>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Text!$S$386</c:f>
              <c:numCache>
                <c:formatCode>General</c:formatCode>
                <c:ptCount val="1"/>
                <c:pt idx="0">
                  <c:v>0</c:v>
                </c:pt>
              </c:numCache>
            </c:numRef>
          </c:val>
          <c:extLst>
            <c:ext xmlns:c16="http://schemas.microsoft.com/office/drawing/2014/chart" uri="{C3380CC4-5D6E-409C-BE32-E72D297353CC}">
              <c16:uniqueId val="{00000004-7B0A-41A5-A89A-C27391B0A8F7}"/>
            </c:ext>
          </c:extLst>
        </c:ser>
        <c:ser>
          <c:idx val="3"/>
          <c:order val="3"/>
          <c:spPr>
            <a:solidFill>
              <a:srgbClr val="B6D383"/>
            </a:solidFill>
            <a:ln>
              <a:solidFill>
                <a:srgbClr val="76B729"/>
              </a:solidFill>
            </a:ln>
            <a:effectLst/>
          </c:spPr>
          <c:invertIfNegative val="0"/>
          <c:dPt>
            <c:idx val="0"/>
            <c:invertIfNegative val="0"/>
            <c:bubble3D val="0"/>
            <c:spPr>
              <a:solidFill>
                <a:srgbClr val="B6D383"/>
              </a:solidFill>
              <a:ln>
                <a:solidFill>
                  <a:srgbClr val="76B729"/>
                </a:solidFill>
              </a:ln>
              <a:effectLst/>
            </c:spPr>
            <c:extLst>
              <c:ext xmlns:c16="http://schemas.microsoft.com/office/drawing/2014/chart" uri="{C3380CC4-5D6E-409C-BE32-E72D297353CC}">
                <c16:uniqueId val="{00000006-7B0A-41A5-A89A-C27391B0A8F7}"/>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Text!$S$387</c:f>
              <c:numCache>
                <c:formatCode>General</c:formatCode>
                <c:ptCount val="1"/>
                <c:pt idx="0">
                  <c:v>0</c:v>
                </c:pt>
              </c:numCache>
            </c:numRef>
          </c:val>
          <c:extLst>
            <c:ext xmlns:c16="http://schemas.microsoft.com/office/drawing/2014/chart" uri="{C3380CC4-5D6E-409C-BE32-E72D297353CC}">
              <c16:uniqueId val="{00000007-7B0A-41A5-A89A-C27391B0A8F7}"/>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Text!$S$388</c:f>
              <c:numCache>
                <c:formatCode>General</c:formatCode>
                <c:ptCount val="1"/>
                <c:pt idx="0">
                  <c:v>-0.5</c:v>
                </c:pt>
              </c:numCache>
            </c:numRef>
          </c:val>
          <c:extLst>
            <c:ext xmlns:c16="http://schemas.microsoft.com/office/drawing/2014/chart" uri="{C3380CC4-5D6E-409C-BE32-E72D297353CC}">
              <c16:uniqueId val="{00000008-7B0A-41A5-A89A-C27391B0A8F7}"/>
            </c:ext>
          </c:extLst>
        </c:ser>
        <c:ser>
          <c:idx val="5"/>
          <c:order val="5"/>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Text!$S$389</c:f>
              <c:numCache>
                <c:formatCode>General</c:formatCode>
                <c:ptCount val="1"/>
                <c:pt idx="0">
                  <c:v>-0.15</c:v>
                </c:pt>
              </c:numCache>
            </c:numRef>
          </c:val>
          <c:extLst>
            <c:ext xmlns:c16="http://schemas.microsoft.com/office/drawing/2014/chart" uri="{C3380CC4-5D6E-409C-BE32-E72D297353CC}">
              <c16:uniqueId val="{00000009-7B0A-41A5-A89A-C27391B0A8F7}"/>
            </c:ext>
          </c:extLst>
        </c:ser>
        <c:ser>
          <c:idx val="6"/>
          <c:order val="6"/>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Text!$S$390</c:f>
              <c:numCache>
                <c:formatCode>General</c:formatCode>
                <c:ptCount val="1"/>
                <c:pt idx="0">
                  <c:v>-0.2</c:v>
                </c:pt>
              </c:numCache>
            </c:numRef>
          </c:val>
          <c:extLst>
            <c:ext xmlns:c16="http://schemas.microsoft.com/office/drawing/2014/chart" uri="{C3380CC4-5D6E-409C-BE32-E72D297353CC}">
              <c16:uniqueId val="{0000000A-7B0A-41A5-A89A-C27391B0A8F7}"/>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Text!$S$391</c:f>
              <c:numCache>
                <c:formatCode>General</c:formatCode>
                <c:ptCount val="1"/>
                <c:pt idx="0">
                  <c:v>-0.15</c:v>
                </c:pt>
              </c:numCache>
            </c:numRef>
          </c:val>
          <c:extLst>
            <c:ext xmlns:c16="http://schemas.microsoft.com/office/drawing/2014/chart" uri="{C3380CC4-5D6E-409C-BE32-E72D297353CC}">
              <c16:uniqueId val="{0000000B-7B0A-41A5-A89A-C27391B0A8F7}"/>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1-355C-417E-AAD2-CF24FF500874}"/>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Text!$Y$384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C000">
                        <a:lumMod val="20000"/>
                        <a:lumOff val="80000"/>
                      </a:srgbClr>
                    </a:solidFill>
                    <a:ln>
                      <a:solidFill>
                        <a:srgbClr val="FFC000">
                          <a:lumMod val="75000"/>
                        </a:srgbClr>
                      </a:solidFill>
                    </a:ln>
                    <a:effectLst/>
                  </c15:spPr>
                  <c15:invertIfNegative val="0"/>
                  <c15:bubble3D val="0"/>
                </c15:categoryFilterException>
              </c15:categoryFilterExceptions>
            </c:ext>
            <c:ext xmlns:c16="http://schemas.microsoft.com/office/drawing/2014/chart" uri="{C3380CC4-5D6E-409C-BE32-E72D297353CC}">
              <c16:uniqueId val="{00000002-355C-417E-AAD2-CF24FF500874}"/>
            </c:ext>
          </c:extLst>
        </c:ser>
        <c:ser>
          <c:idx val="1"/>
          <c:order val="1"/>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4-355C-417E-AAD2-CF24FF500874}"/>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Text!$Y$385</c:f>
              <c:numCache>
                <c:formatCode>General</c:formatCode>
                <c:ptCount val="1"/>
                <c:pt idx="0">
                  <c:v>0</c:v>
                </c:pt>
              </c:numCache>
            </c:numRef>
          </c:val>
          <c:extLst>
            <c:ext xmlns:c16="http://schemas.microsoft.com/office/drawing/2014/chart" uri="{C3380CC4-5D6E-409C-BE32-E72D297353CC}">
              <c16:uniqueId val="{00000005-355C-417E-AAD2-CF24FF500874}"/>
            </c:ext>
          </c:extLst>
        </c:ser>
        <c:ser>
          <c:idx val="2"/>
          <c:order val="2"/>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Text!$Y$386</c:f>
              <c:numCache>
                <c:formatCode>General</c:formatCode>
                <c:ptCount val="1"/>
                <c:pt idx="0">
                  <c:v>0</c:v>
                </c:pt>
              </c:numCache>
            </c:numRef>
          </c:val>
          <c:extLst>
            <c:ext xmlns:c16="http://schemas.microsoft.com/office/drawing/2014/chart" uri="{C3380CC4-5D6E-409C-BE32-E72D297353CC}">
              <c16:uniqueId val="{00000006-355C-417E-AAD2-CF24FF500874}"/>
            </c:ext>
          </c:extLst>
        </c:ser>
        <c:ser>
          <c:idx val="3"/>
          <c:order val="3"/>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8-355C-417E-AAD2-CF24FF500874}"/>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Text!$Y$387</c:f>
              <c:numCache>
                <c:formatCode>General</c:formatCode>
                <c:ptCount val="1"/>
                <c:pt idx="0">
                  <c:v>0</c:v>
                </c:pt>
              </c:numCache>
            </c:numRef>
          </c:val>
          <c:extLst>
            <c:ext xmlns:c16="http://schemas.microsoft.com/office/drawing/2014/chart" uri="{C3380CC4-5D6E-409C-BE32-E72D297353CC}">
              <c16:uniqueId val="{00000009-355C-417E-AAD2-CF24FF500874}"/>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Text!$Y$388</c:f>
              <c:numCache>
                <c:formatCode>General</c:formatCode>
                <c:ptCount val="1"/>
                <c:pt idx="0">
                  <c:v>0.5</c:v>
                </c:pt>
              </c:numCache>
            </c:numRef>
          </c:val>
          <c:extLst>
            <c:ext xmlns:c16="http://schemas.microsoft.com/office/drawing/2014/chart" uri="{C3380CC4-5D6E-409C-BE32-E72D297353CC}">
              <c16:uniqueId val="{0000000A-355C-417E-AAD2-CF24FF500874}"/>
            </c:ext>
          </c:extLst>
        </c:ser>
        <c:ser>
          <c:idx val="5"/>
          <c:order val="5"/>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Text!$Y$389</c:f>
              <c:numCache>
                <c:formatCode>General</c:formatCode>
                <c:ptCount val="1"/>
                <c:pt idx="0">
                  <c:v>0.15</c:v>
                </c:pt>
              </c:numCache>
            </c:numRef>
          </c:val>
          <c:extLst>
            <c:ext xmlns:c16="http://schemas.microsoft.com/office/drawing/2014/chart" uri="{C3380CC4-5D6E-409C-BE32-E72D297353CC}">
              <c16:uniqueId val="{0000000B-355C-417E-AAD2-CF24FF500874}"/>
            </c:ext>
          </c:extLst>
        </c:ser>
        <c:ser>
          <c:idx val="6"/>
          <c:order val="6"/>
          <c:spPr>
            <a:solidFill>
              <a:sysClr val="window" lastClr="FFFFFF"/>
            </a:solidFill>
            <a:ln>
              <a:no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D-355C-417E-AAD2-CF24FF500874}"/>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Text!$Y$390</c:f>
              <c:numCache>
                <c:formatCode>General</c:formatCode>
                <c:ptCount val="1"/>
                <c:pt idx="0">
                  <c:v>0.2</c:v>
                </c:pt>
              </c:numCache>
            </c:numRef>
          </c:val>
          <c:extLst>
            <c:ext xmlns:c16="http://schemas.microsoft.com/office/drawing/2014/chart" uri="{C3380CC4-5D6E-409C-BE32-E72D297353CC}">
              <c16:uniqueId val="{0000000E-355C-417E-AAD2-CF24FF500874}"/>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Text!$Y$391</c:f>
              <c:numCache>
                <c:formatCode>General</c:formatCode>
                <c:ptCount val="1"/>
                <c:pt idx="0">
                  <c:v>0.15</c:v>
                </c:pt>
              </c:numCache>
            </c:numRef>
          </c:val>
          <c:extLst>
            <c:ext xmlns:c16="http://schemas.microsoft.com/office/drawing/2014/chart" uri="{C3380CC4-5D6E-409C-BE32-E72D297353CC}">
              <c16:uniqueId val="{0000000F-355C-417E-AAD2-CF24FF500874}"/>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ysClr val="window" lastClr="FFFFFF"/>
            </a:solidFill>
            <a:ln>
              <a:solidFill>
                <a:srgbClr val="C00000"/>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1-2D54-40DA-9358-93DF4F4F675D}"/>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Text!$T$384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F7CED3"/>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2-2D54-40DA-9358-93DF4F4F675D}"/>
            </c:ext>
          </c:extLst>
        </c:ser>
        <c:ser>
          <c:idx val="1"/>
          <c:order val="1"/>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Text!$T$385</c:f>
              <c:numCache>
                <c:formatCode>General</c:formatCode>
                <c:ptCount val="1"/>
                <c:pt idx="0">
                  <c:v>0</c:v>
                </c:pt>
              </c:numCache>
            </c:numRef>
          </c:val>
          <c:extLst>
            <c:ext xmlns:c16="http://schemas.microsoft.com/office/drawing/2014/chart" uri="{C3380CC4-5D6E-409C-BE32-E72D297353CC}">
              <c16:uniqueId val="{00000003-2D54-40DA-9358-93DF4F4F675D}"/>
            </c:ext>
          </c:extLst>
        </c:ser>
        <c:ser>
          <c:idx val="2"/>
          <c:order val="2"/>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Text!$T$386</c:f>
              <c:numCache>
                <c:formatCode>General</c:formatCode>
                <c:ptCount val="1"/>
                <c:pt idx="0">
                  <c:v>0</c:v>
                </c:pt>
              </c:numCache>
            </c:numRef>
          </c:val>
          <c:extLst>
            <c:ext xmlns:c16="http://schemas.microsoft.com/office/drawing/2014/chart" uri="{C3380CC4-5D6E-409C-BE32-E72D297353CC}">
              <c16:uniqueId val="{00000004-2D54-40DA-9358-93DF4F4F675D}"/>
            </c:ext>
          </c:extLst>
        </c:ser>
        <c:ser>
          <c:idx val="3"/>
          <c:order val="3"/>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Text!$T$387</c:f>
              <c:numCache>
                <c:formatCode>General</c:formatCode>
                <c:ptCount val="1"/>
                <c:pt idx="0">
                  <c:v>0</c:v>
                </c:pt>
              </c:numCache>
            </c:numRef>
          </c:val>
          <c:extLst>
            <c:ext xmlns:c16="http://schemas.microsoft.com/office/drawing/2014/chart" uri="{C3380CC4-5D6E-409C-BE32-E72D297353CC}">
              <c16:uniqueId val="{00000005-2D54-40DA-9358-93DF4F4F675D}"/>
            </c:ext>
          </c:extLst>
        </c:ser>
        <c:ser>
          <c:idx val="4"/>
          <c:order val="4"/>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Text!$T$388</c:f>
              <c:numCache>
                <c:formatCode>General</c:formatCode>
                <c:ptCount val="1"/>
                <c:pt idx="0">
                  <c:v>-0.5</c:v>
                </c:pt>
              </c:numCache>
            </c:numRef>
          </c:val>
          <c:extLst>
            <c:ext xmlns:c16="http://schemas.microsoft.com/office/drawing/2014/chart" uri="{C3380CC4-5D6E-409C-BE32-E72D297353CC}">
              <c16:uniqueId val="{00000006-2D54-40DA-9358-93DF4F4F675D}"/>
            </c:ext>
          </c:extLst>
        </c:ser>
        <c:ser>
          <c:idx val="5"/>
          <c:order val="5"/>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Text!$T$389</c:f>
              <c:numCache>
                <c:formatCode>General</c:formatCode>
                <c:ptCount val="1"/>
                <c:pt idx="0">
                  <c:v>-0.15</c:v>
                </c:pt>
              </c:numCache>
            </c:numRef>
          </c:val>
          <c:extLst>
            <c:ext xmlns:c16="http://schemas.microsoft.com/office/drawing/2014/chart" uri="{C3380CC4-5D6E-409C-BE32-E72D297353CC}">
              <c16:uniqueId val="{00000007-2D54-40DA-9358-93DF4F4F675D}"/>
            </c:ext>
          </c:extLst>
        </c:ser>
        <c:ser>
          <c:idx val="6"/>
          <c:order val="6"/>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Text!$T$390</c:f>
              <c:numCache>
                <c:formatCode>General</c:formatCode>
                <c:ptCount val="1"/>
                <c:pt idx="0">
                  <c:v>-0.2</c:v>
                </c:pt>
              </c:numCache>
            </c:numRef>
          </c:val>
          <c:extLst>
            <c:ext xmlns:c16="http://schemas.microsoft.com/office/drawing/2014/chart" uri="{C3380CC4-5D6E-409C-BE32-E72D297353CC}">
              <c16:uniqueId val="{00000008-2D54-40DA-9358-93DF4F4F675D}"/>
            </c:ext>
          </c:extLst>
        </c:ser>
        <c:ser>
          <c:idx val="7"/>
          <c:order val="7"/>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Text!$T$391</c:f>
              <c:numCache>
                <c:formatCode>General</c:formatCode>
                <c:ptCount val="1"/>
                <c:pt idx="0">
                  <c:v>-0.15</c:v>
                </c:pt>
              </c:numCache>
            </c:numRef>
          </c:val>
          <c:extLst>
            <c:ext xmlns:c16="http://schemas.microsoft.com/office/drawing/2014/chart" uri="{C3380CC4-5D6E-409C-BE32-E72D297353CC}">
              <c16:uniqueId val="{00000009-2D54-40DA-9358-93DF4F4F675D}"/>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1-BB2D-4363-B40C-D307358B0EC3}"/>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Text!$Z$384</c:f>
              <c:numCache>
                <c:formatCode>General</c:formatCode>
                <c:ptCount val="1"/>
                <c:pt idx="0">
                  <c:v>0</c:v>
                </c:pt>
              </c:numCache>
            </c:numRef>
          </c:val>
          <c:extLst>
            <c:ext xmlns:c16="http://schemas.microsoft.com/office/drawing/2014/chart" uri="{C3380CC4-5D6E-409C-BE32-E72D297353CC}">
              <c16:uniqueId val="{00000002-BB2D-4363-B40C-D307358B0EC3}"/>
            </c:ext>
          </c:extLst>
        </c:ser>
        <c:ser>
          <c:idx val="1"/>
          <c:order val="1"/>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Text!$Z$385</c:f>
              <c:numCache>
                <c:formatCode>General</c:formatCode>
                <c:ptCount val="1"/>
                <c:pt idx="0">
                  <c:v>0</c:v>
                </c:pt>
              </c:numCache>
            </c:numRef>
          </c:val>
          <c:extLst>
            <c:ext xmlns:c16="http://schemas.microsoft.com/office/drawing/2014/chart" uri="{C3380CC4-5D6E-409C-BE32-E72D297353CC}">
              <c16:uniqueId val="{00000003-BB2D-4363-B40C-D307358B0EC3}"/>
            </c:ext>
          </c:extLst>
        </c:ser>
        <c:ser>
          <c:idx val="2"/>
          <c:order val="2"/>
          <c:spPr>
            <a:solidFill>
              <a:srgbClr val="FFC000">
                <a:lumMod val="20000"/>
                <a:lumOff val="80000"/>
              </a:srgbClr>
            </a:solidFill>
            <a:ln>
              <a:solidFill>
                <a:srgbClr val="FFC000">
                  <a:lumMod val="75000"/>
                </a:srgbClr>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5-BB2D-4363-B40C-D307358B0EC3}"/>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Text!$Z$386</c:f>
              <c:numCache>
                <c:formatCode>General</c:formatCode>
                <c:ptCount val="1"/>
                <c:pt idx="0">
                  <c:v>0</c:v>
                </c:pt>
              </c:numCache>
            </c:numRef>
          </c:val>
          <c:extLst>
            <c:ext xmlns:c16="http://schemas.microsoft.com/office/drawing/2014/chart" uri="{C3380CC4-5D6E-409C-BE32-E72D297353CC}">
              <c16:uniqueId val="{00000006-BB2D-4363-B40C-D307358B0EC3}"/>
            </c:ext>
          </c:extLst>
        </c:ser>
        <c:ser>
          <c:idx val="3"/>
          <c:order val="3"/>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Text!$Z$387</c:f>
              <c:numCache>
                <c:formatCode>General</c:formatCode>
                <c:ptCount val="1"/>
                <c:pt idx="0">
                  <c:v>0</c:v>
                </c:pt>
              </c:numCache>
            </c:numRef>
          </c:val>
          <c:extLst>
            <c:ext xmlns:c16="http://schemas.microsoft.com/office/drawing/2014/chart" uri="{C3380CC4-5D6E-409C-BE32-E72D297353CC}">
              <c16:uniqueId val="{00000007-BB2D-4363-B40C-D307358B0EC3}"/>
            </c:ext>
          </c:extLst>
        </c:ser>
        <c:ser>
          <c:idx val="4"/>
          <c:order val="4"/>
          <c:spPr>
            <a:solidFill>
              <a:srgbClr val="FFC000">
                <a:lumMod val="20000"/>
                <a:lumOff val="80000"/>
              </a:srgbClr>
            </a:solidFill>
            <a:ln>
              <a:solidFill>
                <a:srgbClr val="FFC000">
                  <a:lumMod val="75000"/>
                </a:srgbClr>
              </a:solidFill>
            </a:ln>
            <a:effectLst/>
          </c:spPr>
          <c:invertIfNegative val="0"/>
          <c:dPt>
            <c:idx val="0"/>
            <c:invertIfNegative val="0"/>
            <c:bubble3D val="0"/>
            <c:spPr>
              <a:noFill/>
              <a:ln>
                <a:solidFill>
                  <a:srgbClr val="FFC000">
                    <a:lumMod val="75000"/>
                  </a:srgbClr>
                </a:solidFill>
              </a:ln>
              <a:effectLst/>
            </c:spPr>
            <c:extLst>
              <c:ext xmlns:c16="http://schemas.microsoft.com/office/drawing/2014/chart" uri="{C3380CC4-5D6E-409C-BE32-E72D297353CC}">
                <c16:uniqueId val="{00000009-BB2D-4363-B40C-D307358B0EC3}"/>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Text!$Z$388</c:f>
              <c:numCache>
                <c:formatCode>General</c:formatCode>
                <c:ptCount val="1"/>
                <c:pt idx="0">
                  <c:v>0.5</c:v>
                </c:pt>
              </c:numCache>
            </c:numRef>
          </c:val>
          <c:extLst>
            <c:ext xmlns:c16="http://schemas.microsoft.com/office/drawing/2014/chart" uri="{C3380CC4-5D6E-409C-BE32-E72D297353CC}">
              <c16:uniqueId val="{0000000A-BB2D-4363-B40C-D307358B0EC3}"/>
            </c:ext>
          </c:extLst>
        </c:ser>
        <c:ser>
          <c:idx val="5"/>
          <c:order val="5"/>
          <c:spPr>
            <a:noFill/>
            <a:ln>
              <a:no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Text!$Z$389</c:f>
              <c:numCache>
                <c:formatCode>General</c:formatCode>
                <c:ptCount val="1"/>
                <c:pt idx="0">
                  <c:v>0.15</c:v>
                </c:pt>
              </c:numCache>
            </c:numRef>
          </c:val>
          <c:extLst>
            <c:ext xmlns:c16="http://schemas.microsoft.com/office/drawing/2014/chart" uri="{C3380CC4-5D6E-409C-BE32-E72D297353CC}">
              <c16:uniqueId val="{0000000B-BB2D-4363-B40C-D307358B0EC3}"/>
            </c:ext>
          </c:extLst>
        </c:ser>
        <c:ser>
          <c:idx val="6"/>
          <c:order val="6"/>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Text!$Z$390</c:f>
              <c:numCache>
                <c:formatCode>General</c:formatCode>
                <c:ptCount val="1"/>
                <c:pt idx="0">
                  <c:v>0.2</c:v>
                </c:pt>
              </c:numCache>
            </c:numRef>
          </c:val>
          <c:extLst>
            <c:ext xmlns:c16="http://schemas.microsoft.com/office/drawing/2014/chart" uri="{C3380CC4-5D6E-409C-BE32-E72D297353CC}">
              <c16:uniqueId val="{0000000C-BB2D-4363-B40C-D307358B0EC3}"/>
            </c:ext>
          </c:extLst>
        </c:ser>
        <c:ser>
          <c:idx val="7"/>
          <c:order val="7"/>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Text!$Z$391</c:f>
              <c:numCache>
                <c:formatCode>General</c:formatCode>
                <c:ptCount val="1"/>
                <c:pt idx="0">
                  <c:v>0.15</c:v>
                </c:pt>
              </c:numCache>
            </c:numRef>
          </c:val>
          <c:extLst>
            <c:ext xmlns:c16="http://schemas.microsoft.com/office/drawing/2014/chart" uri="{C3380CC4-5D6E-409C-BE32-E72D297353CC}">
              <c16:uniqueId val="{0000000D-BB2D-4363-B40C-D307358B0EC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a:solidFill>
                <a:schemeClr val="bg1">
                  <a:lumMod val="50000"/>
                </a:schemeClr>
              </a:solidFill>
            </a:ln>
            <a:effectLst/>
          </c:spPr>
          <c:dLbls>
            <c:delete val="1"/>
          </c:dLbls>
          <c:cat>
            <c:strRef>
              <c:f>Text!$L$394</c:f>
              <c:strCache>
                <c:ptCount val="1"/>
                <c:pt idx="0">
                  <c:v>100 %                </c:v>
                </c:pt>
              </c:strCache>
            </c:strRef>
          </c:cat>
          <c:val>
            <c:numRef>
              <c:f>(Text!$M$394:$M$397,Text!$M$398:$M$400,Text!$M$401:$M$404)</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8027-4C68-AFCB-65E6066546F4}"/>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80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l="500" t="3000"/>
      </a:stretch>
    </a:blipFill>
    <a:ln w="9525" cap="flat" cmpd="sng" algn="ctr">
      <a:noFill/>
      <a:round/>
    </a:ln>
    <a:effectLst/>
  </c:spPr>
  <c:txPr>
    <a:bodyPr/>
    <a:lstStyle/>
    <a:p>
      <a:pPr>
        <a:defRPr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29CA4"/>
            </a:solidFill>
            <a:ln>
              <a:solidFill>
                <a:srgbClr val="E30613"/>
              </a:solidFill>
            </a:ln>
            <a:effectLst/>
          </c:spPr>
          <c:invertIfNegative val="0"/>
          <c:val>
            <c:numRef>
              <c:f>Text!$K$384</c:f>
              <c:numCache>
                <c:formatCode>General</c:formatCode>
                <c:ptCount val="1"/>
                <c:pt idx="0">
                  <c:v>0</c:v>
                </c:pt>
              </c:numCache>
            </c:numRef>
          </c:val>
          <c:extLst>
            <c:ext xmlns:c16="http://schemas.microsoft.com/office/drawing/2014/chart" uri="{C3380CC4-5D6E-409C-BE32-E72D297353CC}">
              <c16:uniqueId val="{00000000-B93B-47CB-9E64-21AAB56874BC}"/>
            </c:ext>
          </c:extLst>
        </c:ser>
        <c:ser>
          <c:idx val="1"/>
          <c:order val="1"/>
          <c:spPr>
            <a:solidFill>
              <a:srgbClr val="F29CA4"/>
            </a:solidFill>
            <a:ln>
              <a:solidFill>
                <a:srgbClr val="E30613"/>
              </a:solidFill>
            </a:ln>
            <a:effectLst/>
          </c:spPr>
          <c:invertIfNegative val="0"/>
          <c:val>
            <c:numRef>
              <c:f>Text!$K$385</c:f>
              <c:numCache>
                <c:formatCode>General</c:formatCode>
                <c:ptCount val="1"/>
                <c:pt idx="0">
                  <c:v>0</c:v>
                </c:pt>
              </c:numCache>
            </c:numRef>
          </c:val>
          <c:extLst>
            <c:ext xmlns:c16="http://schemas.microsoft.com/office/drawing/2014/chart" uri="{C3380CC4-5D6E-409C-BE32-E72D297353CC}">
              <c16:uniqueId val="{00000001-B93B-47CB-9E64-21AAB56874BC}"/>
            </c:ext>
          </c:extLst>
        </c:ser>
        <c:ser>
          <c:idx val="2"/>
          <c:order val="2"/>
          <c:spPr>
            <a:solidFill>
              <a:srgbClr val="F29CA4"/>
            </a:solidFill>
            <a:ln>
              <a:solidFill>
                <a:srgbClr val="E30613"/>
              </a:solidFill>
            </a:ln>
            <a:effectLst/>
          </c:spPr>
          <c:invertIfNegative val="0"/>
          <c:val>
            <c:numRef>
              <c:f>Text!$K$386</c:f>
              <c:numCache>
                <c:formatCode>General</c:formatCode>
                <c:ptCount val="1"/>
                <c:pt idx="0">
                  <c:v>0</c:v>
                </c:pt>
              </c:numCache>
            </c:numRef>
          </c:val>
          <c:extLst>
            <c:ext xmlns:c16="http://schemas.microsoft.com/office/drawing/2014/chart" uri="{C3380CC4-5D6E-409C-BE32-E72D297353CC}">
              <c16:uniqueId val="{00000002-B93B-47CB-9E64-21AAB56874BC}"/>
            </c:ext>
          </c:extLst>
        </c:ser>
        <c:ser>
          <c:idx val="3"/>
          <c:order val="3"/>
          <c:spPr>
            <a:solidFill>
              <a:srgbClr val="F29CA4"/>
            </a:solidFill>
            <a:ln>
              <a:solidFill>
                <a:srgbClr val="E30613"/>
              </a:solidFill>
            </a:ln>
            <a:effectLst/>
          </c:spPr>
          <c:invertIfNegative val="0"/>
          <c:val>
            <c:numRef>
              <c:f>Text!$K$387</c:f>
              <c:numCache>
                <c:formatCode>General</c:formatCode>
                <c:ptCount val="1"/>
                <c:pt idx="0">
                  <c:v>0</c:v>
                </c:pt>
              </c:numCache>
            </c:numRef>
          </c:val>
          <c:extLst>
            <c:ext xmlns:c16="http://schemas.microsoft.com/office/drawing/2014/chart" uri="{C3380CC4-5D6E-409C-BE32-E72D297353CC}">
              <c16:uniqueId val="{00000003-B93B-47CB-9E64-21AAB56874BC}"/>
            </c:ext>
          </c:extLst>
        </c:ser>
        <c:ser>
          <c:idx val="4"/>
          <c:order val="4"/>
          <c:spPr>
            <a:solidFill>
              <a:schemeClr val="bg1"/>
            </a:solidFill>
            <a:ln>
              <a:solidFill>
                <a:srgbClr val="E30613"/>
              </a:solidFill>
            </a:ln>
            <a:effectLst/>
          </c:spPr>
          <c:invertIfNegative val="0"/>
          <c:val>
            <c:numRef>
              <c:f>Text!$K$388</c:f>
              <c:numCache>
                <c:formatCode>General</c:formatCode>
                <c:ptCount val="1"/>
                <c:pt idx="0">
                  <c:v>0.5</c:v>
                </c:pt>
              </c:numCache>
            </c:numRef>
          </c:val>
          <c:extLst>
            <c:ext xmlns:c16="http://schemas.microsoft.com/office/drawing/2014/chart" uri="{C3380CC4-5D6E-409C-BE32-E72D297353CC}">
              <c16:uniqueId val="{00000004-B93B-47CB-9E64-21AAB56874BC}"/>
            </c:ext>
          </c:extLst>
        </c:ser>
        <c:ser>
          <c:idx val="5"/>
          <c:order val="5"/>
          <c:spPr>
            <a:solidFill>
              <a:schemeClr val="bg1"/>
            </a:solidFill>
            <a:ln>
              <a:solidFill>
                <a:srgbClr val="E30613"/>
              </a:solidFill>
            </a:ln>
            <a:effectLst/>
          </c:spPr>
          <c:invertIfNegative val="0"/>
          <c:val>
            <c:numRef>
              <c:f>Text!$K$389</c:f>
              <c:numCache>
                <c:formatCode>General</c:formatCode>
                <c:ptCount val="1"/>
                <c:pt idx="0">
                  <c:v>0.15</c:v>
                </c:pt>
              </c:numCache>
            </c:numRef>
          </c:val>
          <c:extLst>
            <c:ext xmlns:c16="http://schemas.microsoft.com/office/drawing/2014/chart" uri="{C3380CC4-5D6E-409C-BE32-E72D297353CC}">
              <c16:uniqueId val="{00000005-B93B-47CB-9E64-21AAB56874BC}"/>
            </c:ext>
          </c:extLst>
        </c:ser>
        <c:ser>
          <c:idx val="6"/>
          <c:order val="6"/>
          <c:spPr>
            <a:solidFill>
              <a:schemeClr val="bg1"/>
            </a:solidFill>
            <a:ln>
              <a:solidFill>
                <a:srgbClr val="E30613"/>
              </a:solidFill>
            </a:ln>
            <a:effectLst/>
          </c:spPr>
          <c:invertIfNegative val="0"/>
          <c:val>
            <c:numRef>
              <c:f>Text!$K$390</c:f>
              <c:numCache>
                <c:formatCode>General</c:formatCode>
                <c:ptCount val="1"/>
                <c:pt idx="0">
                  <c:v>0.2</c:v>
                </c:pt>
              </c:numCache>
            </c:numRef>
          </c:val>
          <c:extLst>
            <c:ext xmlns:c16="http://schemas.microsoft.com/office/drawing/2014/chart" uri="{C3380CC4-5D6E-409C-BE32-E72D297353CC}">
              <c16:uniqueId val="{00000006-B93B-47CB-9E64-21AAB56874BC}"/>
            </c:ext>
          </c:extLst>
        </c:ser>
        <c:ser>
          <c:idx val="7"/>
          <c:order val="7"/>
          <c:spPr>
            <a:solidFill>
              <a:schemeClr val="bg1"/>
            </a:solidFill>
            <a:ln>
              <a:solidFill>
                <a:srgbClr val="E30613"/>
              </a:solidFill>
            </a:ln>
            <a:effectLst/>
          </c:spPr>
          <c:invertIfNegative val="0"/>
          <c:val>
            <c:numRef>
              <c:f>Text!$K$391</c:f>
              <c:numCache>
                <c:formatCode>General</c:formatCode>
                <c:ptCount val="1"/>
                <c:pt idx="0">
                  <c:v>0.15</c:v>
                </c:pt>
              </c:numCache>
            </c:numRef>
          </c:val>
          <c:extLst>
            <c:ext xmlns:c16="http://schemas.microsoft.com/office/drawing/2014/chart" uri="{C3380CC4-5D6E-409C-BE32-E72D297353CC}">
              <c16:uniqueId val="{00000007-B93B-47CB-9E64-21AAB56874BC}"/>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94D0E8"/>
            </a:solidFill>
            <a:ln>
              <a:solidFill>
                <a:srgbClr val="36B7DA"/>
              </a:solidFill>
            </a:ln>
            <a:effectLst/>
          </c:spPr>
          <c:invertIfNegative val="0"/>
          <c:val>
            <c:numRef>
              <c:f>Text!$L$384</c:f>
              <c:numCache>
                <c:formatCode>General</c:formatCode>
                <c:ptCount val="1"/>
                <c:pt idx="0">
                  <c:v>0</c:v>
                </c:pt>
              </c:numCache>
            </c:numRef>
          </c:val>
          <c:extLst>
            <c:ext xmlns:c16="http://schemas.microsoft.com/office/drawing/2014/chart" uri="{C3380CC4-5D6E-409C-BE32-E72D297353CC}">
              <c16:uniqueId val="{00000000-0C27-4F71-96F0-480E5C413D81}"/>
            </c:ext>
          </c:extLst>
        </c:ser>
        <c:ser>
          <c:idx val="1"/>
          <c:order val="1"/>
          <c:spPr>
            <a:solidFill>
              <a:srgbClr val="94D0E8"/>
            </a:solidFill>
            <a:ln>
              <a:solidFill>
                <a:srgbClr val="36B7DA"/>
              </a:solidFill>
            </a:ln>
            <a:effectLst/>
          </c:spPr>
          <c:invertIfNegative val="0"/>
          <c:val>
            <c:numRef>
              <c:f>Text!$L$385</c:f>
              <c:numCache>
                <c:formatCode>General</c:formatCode>
                <c:ptCount val="1"/>
                <c:pt idx="0">
                  <c:v>0</c:v>
                </c:pt>
              </c:numCache>
            </c:numRef>
          </c:val>
          <c:extLst>
            <c:ext xmlns:c16="http://schemas.microsoft.com/office/drawing/2014/chart" uri="{C3380CC4-5D6E-409C-BE32-E72D297353CC}">
              <c16:uniqueId val="{00000001-0C27-4F71-96F0-480E5C413D81}"/>
            </c:ext>
          </c:extLst>
        </c:ser>
        <c:ser>
          <c:idx val="2"/>
          <c:order val="2"/>
          <c:spPr>
            <a:solidFill>
              <a:srgbClr val="94D0E8"/>
            </a:solidFill>
            <a:ln>
              <a:solidFill>
                <a:srgbClr val="36B7DA"/>
              </a:solidFill>
            </a:ln>
            <a:effectLst/>
          </c:spPr>
          <c:invertIfNegative val="0"/>
          <c:val>
            <c:numRef>
              <c:f>Text!$L$386</c:f>
              <c:numCache>
                <c:formatCode>General</c:formatCode>
                <c:ptCount val="1"/>
                <c:pt idx="0">
                  <c:v>0</c:v>
                </c:pt>
              </c:numCache>
            </c:numRef>
          </c:val>
          <c:extLst>
            <c:ext xmlns:c16="http://schemas.microsoft.com/office/drawing/2014/chart" uri="{C3380CC4-5D6E-409C-BE32-E72D297353CC}">
              <c16:uniqueId val="{00000002-0C27-4F71-96F0-480E5C413D81}"/>
            </c:ext>
          </c:extLst>
        </c:ser>
        <c:ser>
          <c:idx val="3"/>
          <c:order val="3"/>
          <c:spPr>
            <a:solidFill>
              <a:srgbClr val="94D0E8"/>
            </a:solidFill>
            <a:ln>
              <a:solidFill>
                <a:srgbClr val="36B7DA"/>
              </a:solidFill>
            </a:ln>
            <a:effectLst/>
          </c:spPr>
          <c:invertIfNegative val="0"/>
          <c:val>
            <c:numRef>
              <c:f>Text!$L$387</c:f>
              <c:numCache>
                <c:formatCode>General</c:formatCode>
                <c:ptCount val="1"/>
                <c:pt idx="0">
                  <c:v>0</c:v>
                </c:pt>
              </c:numCache>
            </c:numRef>
          </c:val>
          <c:extLst>
            <c:ext xmlns:c16="http://schemas.microsoft.com/office/drawing/2014/chart" uri="{C3380CC4-5D6E-409C-BE32-E72D297353CC}">
              <c16:uniqueId val="{00000003-0C27-4F71-96F0-480E5C413D81}"/>
            </c:ext>
          </c:extLst>
        </c:ser>
        <c:ser>
          <c:idx val="4"/>
          <c:order val="4"/>
          <c:spPr>
            <a:solidFill>
              <a:schemeClr val="bg1"/>
            </a:solidFill>
            <a:ln>
              <a:solidFill>
                <a:srgbClr val="36B7DA"/>
              </a:solidFill>
            </a:ln>
            <a:effectLst/>
          </c:spPr>
          <c:invertIfNegative val="0"/>
          <c:val>
            <c:numRef>
              <c:f>Text!$L$388</c:f>
              <c:numCache>
                <c:formatCode>General</c:formatCode>
                <c:ptCount val="1"/>
                <c:pt idx="0">
                  <c:v>0.5</c:v>
                </c:pt>
              </c:numCache>
            </c:numRef>
          </c:val>
          <c:extLst>
            <c:ext xmlns:c16="http://schemas.microsoft.com/office/drawing/2014/chart" uri="{C3380CC4-5D6E-409C-BE32-E72D297353CC}">
              <c16:uniqueId val="{00000004-0C27-4F71-96F0-480E5C413D81}"/>
            </c:ext>
          </c:extLst>
        </c:ser>
        <c:ser>
          <c:idx val="5"/>
          <c:order val="5"/>
          <c:spPr>
            <a:solidFill>
              <a:schemeClr val="bg1"/>
            </a:solidFill>
            <a:ln>
              <a:solidFill>
                <a:srgbClr val="36B7DA"/>
              </a:solidFill>
            </a:ln>
            <a:effectLst/>
          </c:spPr>
          <c:invertIfNegative val="0"/>
          <c:val>
            <c:numRef>
              <c:f>Text!$L$389</c:f>
              <c:numCache>
                <c:formatCode>General</c:formatCode>
                <c:ptCount val="1"/>
                <c:pt idx="0">
                  <c:v>0.15</c:v>
                </c:pt>
              </c:numCache>
            </c:numRef>
          </c:val>
          <c:extLst>
            <c:ext xmlns:c16="http://schemas.microsoft.com/office/drawing/2014/chart" uri="{C3380CC4-5D6E-409C-BE32-E72D297353CC}">
              <c16:uniqueId val="{00000005-0C27-4F71-96F0-480E5C413D81}"/>
            </c:ext>
          </c:extLst>
        </c:ser>
        <c:ser>
          <c:idx val="6"/>
          <c:order val="6"/>
          <c:spPr>
            <a:solidFill>
              <a:schemeClr val="bg1"/>
            </a:solidFill>
            <a:ln>
              <a:solidFill>
                <a:srgbClr val="36B7DA"/>
              </a:solidFill>
            </a:ln>
            <a:effectLst/>
          </c:spPr>
          <c:invertIfNegative val="0"/>
          <c:val>
            <c:numRef>
              <c:f>Text!$L$390</c:f>
              <c:numCache>
                <c:formatCode>General</c:formatCode>
                <c:ptCount val="1"/>
                <c:pt idx="0">
                  <c:v>0.2</c:v>
                </c:pt>
              </c:numCache>
            </c:numRef>
          </c:val>
          <c:extLst>
            <c:ext xmlns:c16="http://schemas.microsoft.com/office/drawing/2014/chart" uri="{C3380CC4-5D6E-409C-BE32-E72D297353CC}">
              <c16:uniqueId val="{00000006-0C27-4F71-96F0-480E5C413D8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0070C0"/>
          </a:solidFill>
        </a:ln>
        <a:effectLst/>
      </c:spPr>
    </c:plotArea>
    <c:plotVisOnly val="1"/>
    <c:dispBlanksAs val="gap"/>
    <c:showDLblsOverMax val="0"/>
  </c:chart>
  <c:spPr>
    <a:noFill/>
    <a:ln w="9525" cap="flat" cmpd="sng" algn="ctr">
      <a:solidFill>
        <a:srgbClr val="36B7DA"/>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6D383"/>
            </a:solidFill>
            <a:ln>
              <a:solidFill>
                <a:srgbClr val="76B729"/>
              </a:solidFill>
            </a:ln>
            <a:effectLst/>
          </c:spPr>
          <c:invertIfNegative val="0"/>
          <c:val>
            <c:numRef>
              <c:f>Text!$M$384</c:f>
              <c:numCache>
                <c:formatCode>General</c:formatCode>
                <c:ptCount val="1"/>
                <c:pt idx="0">
                  <c:v>0</c:v>
                </c:pt>
              </c:numCache>
            </c:numRef>
          </c:val>
          <c:extLst>
            <c:ext xmlns:c16="http://schemas.microsoft.com/office/drawing/2014/chart" uri="{C3380CC4-5D6E-409C-BE32-E72D297353CC}">
              <c16:uniqueId val="{00000000-A8B5-48D8-AF8D-89D5B5A6015E}"/>
            </c:ext>
          </c:extLst>
        </c:ser>
        <c:ser>
          <c:idx val="1"/>
          <c:order val="1"/>
          <c:spPr>
            <a:solidFill>
              <a:srgbClr val="B6D383"/>
            </a:solidFill>
            <a:ln>
              <a:solidFill>
                <a:srgbClr val="76B729"/>
              </a:solidFill>
            </a:ln>
            <a:effectLst/>
          </c:spPr>
          <c:invertIfNegative val="0"/>
          <c:val>
            <c:numRef>
              <c:f>Text!$M$385</c:f>
              <c:numCache>
                <c:formatCode>General</c:formatCode>
                <c:ptCount val="1"/>
                <c:pt idx="0">
                  <c:v>0</c:v>
                </c:pt>
              </c:numCache>
            </c:numRef>
          </c:val>
          <c:extLst>
            <c:ext xmlns:c16="http://schemas.microsoft.com/office/drawing/2014/chart" uri="{C3380CC4-5D6E-409C-BE32-E72D297353CC}">
              <c16:uniqueId val="{00000001-A8B5-48D8-AF8D-89D5B5A6015E}"/>
            </c:ext>
          </c:extLst>
        </c:ser>
        <c:ser>
          <c:idx val="2"/>
          <c:order val="2"/>
          <c:spPr>
            <a:solidFill>
              <a:srgbClr val="B6D383"/>
            </a:solidFill>
            <a:ln>
              <a:solidFill>
                <a:schemeClr val="accent6">
                  <a:lumMod val="50000"/>
                </a:schemeClr>
              </a:solidFill>
            </a:ln>
            <a:effectLst/>
          </c:spPr>
          <c:invertIfNegative val="0"/>
          <c:dPt>
            <c:idx val="0"/>
            <c:invertIfNegative val="0"/>
            <c:bubble3D val="0"/>
            <c:spPr>
              <a:solidFill>
                <a:srgbClr val="B6D383"/>
              </a:solidFill>
              <a:ln>
                <a:solidFill>
                  <a:srgbClr val="76B729"/>
                </a:solidFill>
              </a:ln>
              <a:effectLst/>
            </c:spPr>
            <c:extLst>
              <c:ext xmlns:c16="http://schemas.microsoft.com/office/drawing/2014/chart" uri="{C3380CC4-5D6E-409C-BE32-E72D297353CC}">
                <c16:uniqueId val="{00000003-A8B5-48D8-AF8D-89D5B5A6015E}"/>
              </c:ext>
            </c:extLst>
          </c:dPt>
          <c:val>
            <c:numRef>
              <c:f>Text!$M$386</c:f>
              <c:numCache>
                <c:formatCode>General</c:formatCode>
                <c:ptCount val="1"/>
                <c:pt idx="0">
                  <c:v>0</c:v>
                </c:pt>
              </c:numCache>
            </c:numRef>
          </c:val>
          <c:extLst>
            <c:ext xmlns:c16="http://schemas.microsoft.com/office/drawing/2014/chart" uri="{C3380CC4-5D6E-409C-BE32-E72D297353CC}">
              <c16:uniqueId val="{00000004-A8B5-48D8-AF8D-89D5B5A6015E}"/>
            </c:ext>
          </c:extLst>
        </c:ser>
        <c:ser>
          <c:idx val="3"/>
          <c:order val="3"/>
          <c:spPr>
            <a:solidFill>
              <a:srgbClr val="B6D383"/>
            </a:solidFill>
            <a:ln>
              <a:solidFill>
                <a:srgbClr val="76B729"/>
              </a:solidFill>
            </a:ln>
            <a:effectLst/>
          </c:spPr>
          <c:invertIfNegative val="0"/>
          <c:val>
            <c:numRef>
              <c:f>Text!$M$387</c:f>
              <c:numCache>
                <c:formatCode>General</c:formatCode>
                <c:ptCount val="1"/>
                <c:pt idx="0">
                  <c:v>0</c:v>
                </c:pt>
              </c:numCache>
            </c:numRef>
          </c:val>
          <c:extLst>
            <c:ext xmlns:c16="http://schemas.microsoft.com/office/drawing/2014/chart" uri="{C3380CC4-5D6E-409C-BE32-E72D297353CC}">
              <c16:uniqueId val="{00000005-A8B5-48D8-AF8D-89D5B5A6015E}"/>
            </c:ext>
          </c:extLst>
        </c:ser>
        <c:ser>
          <c:idx val="4"/>
          <c:order val="4"/>
          <c:spPr>
            <a:solidFill>
              <a:schemeClr val="bg1"/>
            </a:solidFill>
            <a:ln>
              <a:solidFill>
                <a:srgbClr val="76B729"/>
              </a:solidFill>
            </a:ln>
            <a:effectLst/>
          </c:spPr>
          <c:invertIfNegative val="0"/>
          <c:val>
            <c:numRef>
              <c:f>Text!$M$388</c:f>
              <c:numCache>
                <c:formatCode>General</c:formatCode>
                <c:ptCount val="1"/>
                <c:pt idx="0">
                  <c:v>0.5</c:v>
                </c:pt>
              </c:numCache>
            </c:numRef>
          </c:val>
          <c:extLst>
            <c:ext xmlns:c16="http://schemas.microsoft.com/office/drawing/2014/chart" uri="{C3380CC4-5D6E-409C-BE32-E72D297353CC}">
              <c16:uniqueId val="{00000006-A8B5-48D8-AF8D-89D5B5A6015E}"/>
            </c:ext>
          </c:extLst>
        </c:ser>
        <c:ser>
          <c:idx val="5"/>
          <c:order val="5"/>
          <c:spPr>
            <a:solidFill>
              <a:schemeClr val="bg1"/>
            </a:solidFill>
            <a:ln>
              <a:solidFill>
                <a:srgbClr val="76B729"/>
              </a:solidFill>
            </a:ln>
            <a:effectLst/>
          </c:spPr>
          <c:invertIfNegative val="0"/>
          <c:val>
            <c:numRef>
              <c:f>Text!$M$389</c:f>
              <c:numCache>
                <c:formatCode>General</c:formatCode>
                <c:ptCount val="1"/>
                <c:pt idx="0">
                  <c:v>0.15</c:v>
                </c:pt>
              </c:numCache>
            </c:numRef>
          </c:val>
          <c:extLst>
            <c:ext xmlns:c16="http://schemas.microsoft.com/office/drawing/2014/chart" uri="{C3380CC4-5D6E-409C-BE32-E72D297353CC}">
              <c16:uniqueId val="{00000007-A8B5-48D8-AF8D-89D5B5A6015E}"/>
            </c:ext>
          </c:extLst>
        </c:ser>
        <c:ser>
          <c:idx val="6"/>
          <c:order val="6"/>
          <c:spPr>
            <a:solidFill>
              <a:schemeClr val="bg1"/>
            </a:solidFill>
            <a:ln>
              <a:solidFill>
                <a:srgbClr val="76B729"/>
              </a:solidFill>
            </a:ln>
            <a:effectLst/>
          </c:spPr>
          <c:invertIfNegative val="0"/>
          <c:val>
            <c:numRef>
              <c:f>Text!$M$390</c:f>
              <c:numCache>
                <c:formatCode>General</c:formatCode>
                <c:ptCount val="1"/>
                <c:pt idx="0">
                  <c:v>0.2</c:v>
                </c:pt>
              </c:numCache>
            </c:numRef>
          </c:val>
          <c:extLst>
            <c:ext xmlns:c16="http://schemas.microsoft.com/office/drawing/2014/chart" uri="{C3380CC4-5D6E-409C-BE32-E72D297353CC}">
              <c16:uniqueId val="{00000008-A8B5-48D8-AF8D-89D5B5A6015E}"/>
            </c:ext>
          </c:extLst>
        </c:ser>
        <c:ser>
          <c:idx val="7"/>
          <c:order val="7"/>
          <c:spPr>
            <a:solidFill>
              <a:schemeClr val="accent2">
                <a:lumMod val="60000"/>
              </a:schemeClr>
            </a:solidFill>
            <a:ln>
              <a:solidFill>
                <a:srgbClr val="76B729"/>
              </a:solidFill>
            </a:ln>
            <a:effectLst/>
          </c:spPr>
          <c:invertIfNegative val="0"/>
          <c:dPt>
            <c:idx val="0"/>
            <c:invertIfNegative val="0"/>
            <c:bubble3D val="0"/>
            <c:spPr>
              <a:solidFill>
                <a:schemeClr val="bg1"/>
              </a:solidFill>
              <a:ln>
                <a:solidFill>
                  <a:srgbClr val="76B729"/>
                </a:solidFill>
              </a:ln>
              <a:effectLst/>
            </c:spPr>
            <c:extLst>
              <c:ext xmlns:c16="http://schemas.microsoft.com/office/drawing/2014/chart" uri="{C3380CC4-5D6E-409C-BE32-E72D297353CC}">
                <c16:uniqueId val="{0000000A-A8B5-48D8-AF8D-89D5B5A6015E}"/>
              </c:ext>
            </c:extLst>
          </c:dPt>
          <c:val>
            <c:numRef>
              <c:f>Text!$M$391</c:f>
              <c:numCache>
                <c:formatCode>General</c:formatCode>
                <c:ptCount val="1"/>
                <c:pt idx="0">
                  <c:v>0.15</c:v>
                </c:pt>
              </c:numCache>
            </c:numRef>
          </c:val>
          <c:extLst>
            <c:ext xmlns:c16="http://schemas.microsoft.com/office/drawing/2014/chart" uri="{C3380CC4-5D6E-409C-BE32-E72D297353CC}">
              <c16:uniqueId val="{0000000B-A8B5-48D8-AF8D-89D5B5A6015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solidFill>
          <a:schemeClr val="bg1"/>
        </a:solidFill>
        <a:ln w="25400">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75000"/>
                </a:schemeClr>
              </a:solidFill>
            </a:ln>
            <a:effectLst/>
          </c:spPr>
          <c:invertIfNegative val="0"/>
          <c:val>
            <c:numRef>
              <c:f>Text!$N$384</c:f>
              <c:numCache>
                <c:formatCode>General</c:formatCode>
                <c:ptCount val="1"/>
                <c:pt idx="0">
                  <c:v>0</c:v>
                </c:pt>
              </c:numCache>
            </c:numRef>
          </c:val>
          <c:extLst>
            <c:ext xmlns:c16="http://schemas.microsoft.com/office/drawing/2014/chart" uri="{C3380CC4-5D6E-409C-BE32-E72D297353CC}">
              <c16:uniqueId val="{00000000-7E6B-48E1-B03E-22C26944DDC2}"/>
            </c:ext>
          </c:extLst>
        </c:ser>
        <c:ser>
          <c:idx val="1"/>
          <c:order val="1"/>
          <c:spPr>
            <a:solidFill>
              <a:schemeClr val="accent4">
                <a:lumMod val="20000"/>
                <a:lumOff val="80000"/>
              </a:schemeClr>
            </a:solidFill>
            <a:ln>
              <a:solidFill>
                <a:schemeClr val="accent4">
                  <a:lumMod val="75000"/>
                </a:schemeClr>
              </a:solidFill>
            </a:ln>
            <a:effectLst/>
          </c:spPr>
          <c:invertIfNegative val="0"/>
          <c:val>
            <c:numRef>
              <c:f>Text!$N$385</c:f>
              <c:numCache>
                <c:formatCode>General</c:formatCode>
                <c:ptCount val="1"/>
                <c:pt idx="0">
                  <c:v>0</c:v>
                </c:pt>
              </c:numCache>
            </c:numRef>
          </c:val>
          <c:extLst>
            <c:ext xmlns:c16="http://schemas.microsoft.com/office/drawing/2014/chart" uri="{C3380CC4-5D6E-409C-BE32-E72D297353CC}">
              <c16:uniqueId val="{00000001-7E6B-48E1-B03E-22C26944DDC2}"/>
            </c:ext>
          </c:extLst>
        </c:ser>
        <c:ser>
          <c:idx val="2"/>
          <c:order val="2"/>
          <c:spPr>
            <a:solidFill>
              <a:schemeClr val="accent4">
                <a:lumMod val="20000"/>
                <a:lumOff val="80000"/>
              </a:schemeClr>
            </a:solidFill>
            <a:ln>
              <a:solidFill>
                <a:schemeClr val="accent4">
                  <a:lumMod val="75000"/>
                </a:schemeClr>
              </a:solidFill>
            </a:ln>
            <a:effectLst/>
          </c:spPr>
          <c:invertIfNegative val="0"/>
          <c:val>
            <c:numRef>
              <c:f>Text!$N$386</c:f>
              <c:numCache>
                <c:formatCode>General</c:formatCode>
                <c:ptCount val="1"/>
                <c:pt idx="0">
                  <c:v>0</c:v>
                </c:pt>
              </c:numCache>
            </c:numRef>
          </c:val>
          <c:extLst>
            <c:ext xmlns:c16="http://schemas.microsoft.com/office/drawing/2014/chart" uri="{C3380CC4-5D6E-409C-BE32-E72D297353CC}">
              <c16:uniqueId val="{00000002-7E6B-48E1-B03E-22C26944DDC2}"/>
            </c:ext>
          </c:extLst>
        </c:ser>
        <c:ser>
          <c:idx val="3"/>
          <c:order val="3"/>
          <c:spPr>
            <a:solidFill>
              <a:schemeClr val="accent4"/>
            </a:solidFill>
            <a:ln>
              <a:solidFill>
                <a:schemeClr val="accent4">
                  <a:lumMod val="75000"/>
                </a:schemeClr>
              </a:solidFill>
            </a:ln>
            <a:effectLst/>
          </c:spPr>
          <c:invertIfNegative val="0"/>
          <c:dPt>
            <c:idx val="0"/>
            <c:invertIfNegative val="0"/>
            <c:bubble3D val="0"/>
            <c:spPr>
              <a:solidFill>
                <a:schemeClr val="accent4">
                  <a:lumMod val="20000"/>
                  <a:lumOff val="80000"/>
                </a:schemeClr>
              </a:solidFill>
              <a:ln>
                <a:solidFill>
                  <a:schemeClr val="accent4">
                    <a:lumMod val="75000"/>
                  </a:schemeClr>
                </a:solidFill>
              </a:ln>
              <a:effectLst/>
            </c:spPr>
            <c:extLst>
              <c:ext xmlns:c16="http://schemas.microsoft.com/office/drawing/2014/chart" uri="{C3380CC4-5D6E-409C-BE32-E72D297353CC}">
                <c16:uniqueId val="{00000004-7E6B-48E1-B03E-22C26944DDC2}"/>
              </c:ext>
            </c:extLst>
          </c:dPt>
          <c:val>
            <c:numRef>
              <c:f>Text!$N$387</c:f>
              <c:numCache>
                <c:formatCode>General</c:formatCode>
                <c:ptCount val="1"/>
                <c:pt idx="0">
                  <c:v>0</c:v>
                </c:pt>
              </c:numCache>
            </c:numRef>
          </c:val>
          <c:extLst>
            <c:ext xmlns:c16="http://schemas.microsoft.com/office/drawing/2014/chart" uri="{C3380CC4-5D6E-409C-BE32-E72D297353CC}">
              <c16:uniqueId val="{00000005-7E6B-48E1-B03E-22C26944DDC2}"/>
            </c:ext>
          </c:extLst>
        </c:ser>
        <c:ser>
          <c:idx val="4"/>
          <c:order val="4"/>
          <c:spPr>
            <a:solidFill>
              <a:schemeClr val="bg1"/>
            </a:solidFill>
            <a:ln>
              <a:solidFill>
                <a:schemeClr val="accent4">
                  <a:lumMod val="75000"/>
                </a:schemeClr>
              </a:solidFill>
            </a:ln>
            <a:effectLst/>
          </c:spPr>
          <c:invertIfNegative val="0"/>
          <c:val>
            <c:numRef>
              <c:f>Text!$N$388</c:f>
              <c:numCache>
                <c:formatCode>General</c:formatCode>
                <c:ptCount val="1"/>
                <c:pt idx="0">
                  <c:v>0.5</c:v>
                </c:pt>
              </c:numCache>
            </c:numRef>
          </c:val>
          <c:extLst>
            <c:ext xmlns:c16="http://schemas.microsoft.com/office/drawing/2014/chart" uri="{C3380CC4-5D6E-409C-BE32-E72D297353CC}">
              <c16:uniqueId val="{00000006-7E6B-48E1-B03E-22C26944DDC2}"/>
            </c:ext>
          </c:extLst>
        </c:ser>
        <c:ser>
          <c:idx val="5"/>
          <c:order val="5"/>
          <c:spPr>
            <a:solidFill>
              <a:schemeClr val="bg1"/>
            </a:solidFill>
            <a:ln>
              <a:solidFill>
                <a:schemeClr val="accent4">
                  <a:lumMod val="75000"/>
                </a:schemeClr>
              </a:solidFill>
            </a:ln>
            <a:effectLst/>
          </c:spPr>
          <c:invertIfNegative val="0"/>
          <c:val>
            <c:numRef>
              <c:f>Text!$N$389</c:f>
              <c:numCache>
                <c:formatCode>General</c:formatCode>
                <c:ptCount val="1"/>
                <c:pt idx="0">
                  <c:v>0.15</c:v>
                </c:pt>
              </c:numCache>
            </c:numRef>
          </c:val>
          <c:extLst>
            <c:ext xmlns:c16="http://schemas.microsoft.com/office/drawing/2014/chart" uri="{C3380CC4-5D6E-409C-BE32-E72D297353CC}">
              <c16:uniqueId val="{00000007-7E6B-48E1-B03E-22C26944DDC2}"/>
            </c:ext>
          </c:extLst>
        </c:ser>
        <c:ser>
          <c:idx val="6"/>
          <c:order val="6"/>
          <c:spPr>
            <a:solidFill>
              <a:schemeClr val="bg1"/>
            </a:solidFill>
            <a:ln>
              <a:solidFill>
                <a:schemeClr val="accent4">
                  <a:lumMod val="75000"/>
                </a:schemeClr>
              </a:solidFill>
            </a:ln>
            <a:effectLst/>
          </c:spPr>
          <c:invertIfNegative val="0"/>
          <c:val>
            <c:numRef>
              <c:f>Text!$N$390</c:f>
              <c:numCache>
                <c:formatCode>General</c:formatCode>
                <c:ptCount val="1"/>
                <c:pt idx="0">
                  <c:v>0.2</c:v>
                </c:pt>
              </c:numCache>
            </c:numRef>
          </c:val>
          <c:extLst>
            <c:ext xmlns:c16="http://schemas.microsoft.com/office/drawing/2014/chart" uri="{C3380CC4-5D6E-409C-BE32-E72D297353CC}">
              <c16:uniqueId val="{00000008-7E6B-48E1-B03E-22C26944DDC2}"/>
            </c:ext>
          </c:extLst>
        </c:ser>
        <c:ser>
          <c:idx val="7"/>
          <c:order val="7"/>
          <c:spPr>
            <a:solidFill>
              <a:schemeClr val="bg1"/>
            </a:solidFill>
            <a:ln>
              <a:solidFill>
                <a:schemeClr val="accent4">
                  <a:lumMod val="75000"/>
                </a:schemeClr>
              </a:solidFill>
            </a:ln>
            <a:effectLst/>
          </c:spPr>
          <c:invertIfNegative val="0"/>
          <c:val>
            <c:numRef>
              <c:f>Text!$N$391</c:f>
              <c:numCache>
                <c:formatCode>General</c:formatCode>
                <c:ptCount val="1"/>
                <c:pt idx="0">
                  <c:v>0.15</c:v>
                </c:pt>
              </c:numCache>
            </c:numRef>
          </c:val>
          <c:extLst>
            <c:ext xmlns:c16="http://schemas.microsoft.com/office/drawing/2014/chart" uri="{C3380CC4-5D6E-409C-BE32-E72D297353CC}">
              <c16:uniqueId val="{00000009-7E6B-48E1-B03E-22C26944DDC2}"/>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solidFill>
          <a:schemeClr val="bg1"/>
        </a:solidFill>
        <a:ln w="25400">
          <a:noFill/>
        </a:ln>
        <a:effectLst/>
      </c:spPr>
    </c:plotArea>
    <c:plotVisOnly val="1"/>
    <c:dispBlanksAs val="gap"/>
    <c:showDLblsOverMax val="0"/>
  </c:chart>
  <c:spPr>
    <a:solidFill>
      <a:schemeClr val="bg1"/>
    </a:solidFill>
    <a:ln w="9525" cap="flat" cmpd="sng" algn="ctr">
      <a:solidFill>
        <a:schemeClr val="accent4">
          <a:lumMod val="7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dPt>
            <c:idx val="2"/>
            <c:invertIfNegative val="0"/>
            <c:bubble3D val="0"/>
            <c:spPr>
              <a:solidFill>
                <a:srgbClr val="FFD1D1"/>
              </a:solidFill>
              <a:ln>
                <a:solidFill>
                  <a:srgbClr val="E30613"/>
                </a:solidFill>
              </a:ln>
              <a:effectLst/>
            </c:spPr>
            <c:extLst>
              <c:ext xmlns:c16="http://schemas.microsoft.com/office/drawing/2014/chart" uri="{C3380CC4-5D6E-409C-BE32-E72D297353CC}">
                <c16:uniqueId val="{00000001-2899-4F97-8055-5FE75D47E543}"/>
              </c:ext>
            </c:extLst>
          </c:dPt>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Text!$K$339:$N$339</c15:sqref>
                  </c15:fullRef>
                </c:ext>
              </c:extLst>
              <c:f>Text!$L$339:$N$339</c:f>
              <c:numCache>
                <c:formatCode>0.00</c:formatCode>
                <c:ptCount val="3"/>
                <c:pt idx="0">
                  <c:v>0</c:v>
                </c:pt>
                <c:pt idx="1">
                  <c:v>0</c:v>
                </c:pt>
                <c:pt idx="2">
                  <c:v>0</c:v>
                </c:pt>
              </c:numCache>
            </c:numRef>
          </c:val>
          <c:extLst>
            <c:ext xmlns:c16="http://schemas.microsoft.com/office/drawing/2014/chart" uri="{C3380CC4-5D6E-409C-BE32-E72D297353CC}">
              <c16:uniqueId val="{00000000-037E-4261-B71B-9DB193F25145}"/>
            </c:ext>
          </c:extLst>
        </c:ser>
        <c:ser>
          <c:idx val="1"/>
          <c:order val="1"/>
          <c:spPr>
            <a:solidFill>
              <a:srgbClr val="FFD1D1"/>
            </a:solidFill>
            <a:ln>
              <a:solidFill>
                <a:srgbClr val="E30613"/>
              </a:solidFill>
            </a:ln>
            <a:effectLst/>
          </c:spPr>
          <c:invertIfNegative val="0"/>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Text!$K$340:$N$340</c15:sqref>
                  </c15:fullRef>
                </c:ext>
              </c:extLst>
              <c:f>Text!$L$340:$N$340</c:f>
              <c:numCache>
                <c:formatCode>0.00</c:formatCode>
                <c:ptCount val="3"/>
                <c:pt idx="0">
                  <c:v>0</c:v>
                </c:pt>
                <c:pt idx="1">
                  <c:v>0</c:v>
                </c:pt>
                <c:pt idx="2">
                  <c:v>0</c:v>
                </c:pt>
              </c:numCache>
            </c:numRef>
          </c:val>
          <c:extLst>
            <c:ext xmlns:c16="http://schemas.microsoft.com/office/drawing/2014/chart" uri="{C3380CC4-5D6E-409C-BE32-E72D297353CC}">
              <c16:uniqueId val="{00000001-037E-4261-B71B-9DB193F25145}"/>
            </c:ext>
          </c:extLst>
        </c:ser>
        <c:ser>
          <c:idx val="2"/>
          <c:order val="2"/>
          <c:spPr>
            <a:solidFill>
              <a:srgbClr val="FFD1D1"/>
            </a:solidFill>
            <a:ln>
              <a:solidFill>
                <a:srgbClr val="E30613"/>
              </a:solidFill>
            </a:ln>
            <a:effectLst/>
          </c:spPr>
          <c:invertIfNegative val="0"/>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Text!$K$341:$N$341</c15:sqref>
                  </c15:fullRef>
                </c:ext>
              </c:extLst>
              <c:f>Text!$L$341:$N$341</c:f>
              <c:numCache>
                <c:formatCode>0.00</c:formatCode>
                <c:ptCount val="3"/>
                <c:pt idx="0">
                  <c:v>0</c:v>
                </c:pt>
                <c:pt idx="1">
                  <c:v>0</c:v>
                </c:pt>
                <c:pt idx="2">
                  <c:v>0</c:v>
                </c:pt>
              </c:numCache>
            </c:numRef>
          </c:val>
          <c:extLst>
            <c:ext xmlns:c16="http://schemas.microsoft.com/office/drawing/2014/chart" uri="{C3380CC4-5D6E-409C-BE32-E72D297353CC}">
              <c16:uniqueId val="{00000002-037E-4261-B71B-9DB193F25145}"/>
            </c:ext>
          </c:extLst>
        </c:ser>
        <c:ser>
          <c:idx val="3"/>
          <c:order val="3"/>
          <c:spPr>
            <a:solidFill>
              <a:srgbClr val="FFD1D1"/>
            </a:solidFill>
            <a:ln>
              <a:solidFill>
                <a:srgbClr val="E30613"/>
              </a:solidFill>
            </a:ln>
            <a:effectLst/>
          </c:spPr>
          <c:invertIfNegative val="0"/>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Text!$K$342:$N$342</c15:sqref>
                  </c15:fullRef>
                </c:ext>
              </c:extLst>
              <c:f>Text!$L$342:$N$342</c:f>
              <c:numCache>
                <c:formatCode>0.00</c:formatCode>
                <c:ptCount val="3"/>
                <c:pt idx="0">
                  <c:v>0</c:v>
                </c:pt>
                <c:pt idx="1">
                  <c:v>0</c:v>
                </c:pt>
                <c:pt idx="2">
                  <c:v>0</c:v>
                </c:pt>
              </c:numCache>
            </c:numRef>
          </c:val>
          <c:extLst>
            <c:ext xmlns:c16="http://schemas.microsoft.com/office/drawing/2014/chart" uri="{C3380CC4-5D6E-409C-BE32-E72D297353CC}">
              <c16:uniqueId val="{00000003-037E-4261-B71B-9DB193F25145}"/>
            </c:ext>
          </c:extLst>
        </c:ser>
        <c:ser>
          <c:idx val="4"/>
          <c:order val="4"/>
          <c:spPr>
            <a:solidFill>
              <a:schemeClr val="bg1"/>
            </a:solidFill>
            <a:ln>
              <a:solidFill>
                <a:srgbClr val="E30613"/>
              </a:solidFill>
            </a:ln>
            <a:effectLst/>
          </c:spPr>
          <c:invertIfNegative val="0"/>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Text!$K$343:$N$343</c15:sqref>
                  </c15:fullRef>
                </c:ext>
              </c:extLst>
              <c:f>Text!$L$343:$N$343</c:f>
              <c:numCache>
                <c:formatCode>0.00</c:formatCode>
                <c:ptCount val="3"/>
                <c:pt idx="0">
                  <c:v>0.5</c:v>
                </c:pt>
                <c:pt idx="1">
                  <c:v>0.5</c:v>
                </c:pt>
                <c:pt idx="2">
                  <c:v>0.5</c:v>
                </c:pt>
              </c:numCache>
            </c:numRef>
          </c:val>
          <c:extLst>
            <c:ext xmlns:c16="http://schemas.microsoft.com/office/drawing/2014/chart" uri="{C3380CC4-5D6E-409C-BE32-E72D297353CC}">
              <c16:uniqueId val="{00000004-037E-4261-B71B-9DB193F25145}"/>
            </c:ext>
          </c:extLst>
        </c:ser>
        <c:ser>
          <c:idx val="5"/>
          <c:order val="5"/>
          <c:spPr>
            <a:solidFill>
              <a:schemeClr val="bg1"/>
            </a:solidFill>
            <a:ln>
              <a:solidFill>
                <a:srgbClr val="E30613"/>
              </a:solidFill>
            </a:ln>
            <a:effectLst/>
          </c:spPr>
          <c:invertIfNegative val="0"/>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Text!$K$344:$N$344</c15:sqref>
                  </c15:fullRef>
                </c:ext>
              </c:extLst>
              <c:f>Text!$L$344:$N$344</c:f>
              <c:numCache>
                <c:formatCode>0.00</c:formatCode>
                <c:ptCount val="3"/>
                <c:pt idx="0">
                  <c:v>0.15</c:v>
                </c:pt>
                <c:pt idx="1">
                  <c:v>0.15</c:v>
                </c:pt>
                <c:pt idx="2">
                  <c:v>0.15</c:v>
                </c:pt>
              </c:numCache>
            </c:numRef>
          </c:val>
          <c:extLst>
            <c:ext xmlns:c16="http://schemas.microsoft.com/office/drawing/2014/chart" uri="{C3380CC4-5D6E-409C-BE32-E72D297353CC}">
              <c16:uniqueId val="{00000005-037E-4261-B71B-9DB193F25145}"/>
            </c:ext>
          </c:extLst>
        </c:ser>
        <c:ser>
          <c:idx val="6"/>
          <c:order val="6"/>
          <c:spPr>
            <a:solidFill>
              <a:schemeClr val="bg1"/>
            </a:solidFill>
            <a:ln>
              <a:solidFill>
                <a:srgbClr val="E30613"/>
              </a:solidFill>
            </a:ln>
            <a:effectLst/>
          </c:spPr>
          <c:invertIfNegative val="0"/>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Text!$K$345:$N$345</c15:sqref>
                  </c15:fullRef>
                </c:ext>
              </c:extLst>
              <c:f>Text!$L$345:$N$345</c:f>
              <c:numCache>
                <c:formatCode>0.00</c:formatCode>
                <c:ptCount val="3"/>
                <c:pt idx="0">
                  <c:v>0.2</c:v>
                </c:pt>
                <c:pt idx="1">
                  <c:v>0.2</c:v>
                </c:pt>
                <c:pt idx="2">
                  <c:v>0.2</c:v>
                </c:pt>
              </c:numCache>
            </c:numRef>
          </c:val>
          <c:extLst>
            <c:ext xmlns:c16="http://schemas.microsoft.com/office/drawing/2014/chart" uri="{C3380CC4-5D6E-409C-BE32-E72D297353CC}">
              <c16:uniqueId val="{00000006-037E-4261-B71B-9DB193F25145}"/>
            </c:ext>
          </c:extLst>
        </c:ser>
        <c:ser>
          <c:idx val="7"/>
          <c:order val="7"/>
          <c:spPr>
            <a:solidFill>
              <a:schemeClr val="bg1"/>
            </a:solidFill>
            <a:ln>
              <a:solidFill>
                <a:srgbClr val="E30613"/>
              </a:solidFill>
            </a:ln>
            <a:effectLst/>
          </c:spPr>
          <c:invertIfNegative val="0"/>
          <c:cat>
            <c:strLit>
              <c:ptCount val="3"/>
              <c:pt idx="0">
                <c:v>2</c:v>
              </c:pt>
              <c:pt idx="1">
                <c:v>3</c:v>
              </c:pt>
              <c:pt idx="2">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Text!$K$346:$N$346</c15:sqref>
                  </c15:fullRef>
                </c:ext>
              </c:extLst>
              <c:f>Text!$L$346:$N$346</c:f>
              <c:numCache>
                <c:formatCode>0.00</c:formatCode>
                <c:ptCount val="3"/>
                <c:pt idx="0">
                  <c:v>0.15</c:v>
                </c:pt>
                <c:pt idx="1">
                  <c:v>0.15</c:v>
                </c:pt>
                <c:pt idx="2">
                  <c:v>0.15</c:v>
                </c:pt>
              </c:numCache>
            </c:numRef>
          </c:val>
          <c:extLst>
            <c:ext xmlns:c16="http://schemas.microsoft.com/office/drawing/2014/chart" uri="{C3380CC4-5D6E-409C-BE32-E72D297353CC}">
              <c16:uniqueId val="{00000007-037E-4261-B71B-9DB193F25145}"/>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Text!$K$339:$N$339</c15:sqref>
                  </c15:fullRef>
                </c:ext>
              </c:extLst>
              <c:f>Text!$K$339</c:f>
              <c:numCache>
                <c:formatCode>0.00</c:formatCode>
                <c:ptCount val="1"/>
                <c:pt idx="0">
                  <c:v>0</c:v>
                </c:pt>
              </c:numCache>
            </c:numRef>
          </c:val>
          <c:extLst>
            <c:ext xmlns:c15="http://schemas.microsoft.com/office/drawing/2012/chart" uri="{02D57815-91ED-43cb-92C2-25804820EDAC}">
              <c15:categoryFilterExceptions>
                <c15:categoryFilterException>
                  <c15:sqref>Text!$N$339</c15:sqref>
                  <c15:spPr xmlns:c15="http://schemas.microsoft.com/office/drawing/2012/chart">
                    <a:solidFill>
                      <a:srgbClr val="FFD1D1"/>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2-FC1A-4FD9-9042-5CB86D10F324}"/>
            </c:ext>
          </c:extLst>
        </c:ser>
        <c:ser>
          <c:idx val="1"/>
          <c:order val="1"/>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Text!$K$340:$N$340</c15:sqref>
                  </c15:fullRef>
                </c:ext>
              </c:extLst>
              <c:f>Text!$K$340</c:f>
              <c:numCache>
                <c:formatCode>0.00</c:formatCode>
                <c:ptCount val="1"/>
                <c:pt idx="0">
                  <c:v>0</c:v>
                </c:pt>
              </c:numCache>
            </c:numRef>
          </c:val>
          <c:extLst>
            <c:ext xmlns:c16="http://schemas.microsoft.com/office/drawing/2014/chart" uri="{C3380CC4-5D6E-409C-BE32-E72D297353CC}">
              <c16:uniqueId val="{00000003-FC1A-4FD9-9042-5CB86D10F324}"/>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Text!$K$341:$N$341</c15:sqref>
                  </c15:fullRef>
                </c:ext>
              </c:extLst>
              <c:f>Text!$K$341</c:f>
              <c:numCache>
                <c:formatCode>0.00</c:formatCode>
                <c:ptCount val="1"/>
                <c:pt idx="0">
                  <c:v>0</c:v>
                </c:pt>
              </c:numCache>
            </c:numRef>
          </c:val>
          <c:extLst>
            <c:ext xmlns:c16="http://schemas.microsoft.com/office/drawing/2014/chart" uri="{C3380CC4-5D6E-409C-BE32-E72D297353CC}">
              <c16:uniqueId val="{00000004-FC1A-4FD9-9042-5CB86D10F324}"/>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Text!$K$342:$N$342</c15:sqref>
                  </c15:fullRef>
                </c:ext>
              </c:extLst>
              <c:f>Text!$K$342</c:f>
              <c:numCache>
                <c:formatCode>0.00</c:formatCode>
                <c:ptCount val="1"/>
                <c:pt idx="0">
                  <c:v>0</c:v>
                </c:pt>
              </c:numCache>
            </c:numRef>
          </c:val>
          <c:extLst>
            <c:ext xmlns:c16="http://schemas.microsoft.com/office/drawing/2014/chart" uri="{C3380CC4-5D6E-409C-BE32-E72D297353CC}">
              <c16:uniqueId val="{00000005-FC1A-4FD9-9042-5CB86D10F324}"/>
            </c:ext>
          </c:extLst>
        </c:ser>
        <c:ser>
          <c:idx val="4"/>
          <c:order val="4"/>
          <c:spPr>
            <a:solidFill>
              <a:schemeClr val="bg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Text!$K$343:$N$343</c15:sqref>
                  </c15:fullRef>
                </c:ext>
              </c:extLst>
              <c:f>Text!$K$343</c:f>
              <c:numCache>
                <c:formatCode>0.00</c:formatCode>
                <c:ptCount val="1"/>
                <c:pt idx="0">
                  <c:v>0.5</c:v>
                </c:pt>
              </c:numCache>
            </c:numRef>
          </c:val>
          <c:extLst>
            <c:ext xmlns:c16="http://schemas.microsoft.com/office/drawing/2014/chart" uri="{C3380CC4-5D6E-409C-BE32-E72D297353CC}">
              <c16:uniqueId val="{00000006-FC1A-4FD9-9042-5CB86D10F324}"/>
            </c:ext>
          </c:extLst>
        </c:ser>
        <c:ser>
          <c:idx val="5"/>
          <c:order val="5"/>
          <c:spPr>
            <a:solidFill>
              <a:schemeClr val="bg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Text!$K$344:$N$344</c15:sqref>
                  </c15:fullRef>
                </c:ext>
              </c:extLst>
              <c:f>Text!$K$344</c:f>
              <c:numCache>
                <c:formatCode>0.00</c:formatCode>
                <c:ptCount val="1"/>
                <c:pt idx="0">
                  <c:v>0.15</c:v>
                </c:pt>
              </c:numCache>
            </c:numRef>
          </c:val>
          <c:extLst>
            <c:ext xmlns:c16="http://schemas.microsoft.com/office/drawing/2014/chart" uri="{C3380CC4-5D6E-409C-BE32-E72D297353CC}">
              <c16:uniqueId val="{00000007-FC1A-4FD9-9042-5CB86D10F324}"/>
            </c:ext>
          </c:extLst>
        </c:ser>
        <c:ser>
          <c:idx val="6"/>
          <c:order val="6"/>
          <c:spPr>
            <a:solidFill>
              <a:schemeClr val="bg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Text!$K$345:$N$345</c15:sqref>
                  </c15:fullRef>
                </c:ext>
              </c:extLst>
              <c:f>Text!$K$345</c:f>
              <c:numCache>
                <c:formatCode>0.00</c:formatCode>
                <c:ptCount val="1"/>
                <c:pt idx="0">
                  <c:v>0.2</c:v>
                </c:pt>
              </c:numCache>
            </c:numRef>
          </c:val>
          <c:extLst>
            <c:ext xmlns:c16="http://schemas.microsoft.com/office/drawing/2014/chart" uri="{C3380CC4-5D6E-409C-BE32-E72D297353CC}">
              <c16:uniqueId val="{00000008-FC1A-4FD9-9042-5CB86D10F324}"/>
            </c:ext>
          </c:extLst>
        </c:ser>
        <c:ser>
          <c:idx val="7"/>
          <c:order val="7"/>
          <c:spPr>
            <a:solidFill>
              <a:schemeClr val="bg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Text!$K$346:$N$346</c15:sqref>
                  </c15:fullRef>
                </c:ext>
              </c:extLst>
              <c:f>Text!$K$346</c:f>
              <c:numCache>
                <c:formatCode>0.00</c:formatCode>
                <c:ptCount val="1"/>
                <c:pt idx="0">
                  <c:v>0.15</c:v>
                </c:pt>
              </c:numCache>
            </c:numRef>
          </c:val>
          <c:extLst>
            <c:ext xmlns:c16="http://schemas.microsoft.com/office/drawing/2014/chart" uri="{C3380CC4-5D6E-409C-BE32-E72D297353CC}">
              <c16:uniqueId val="{00000009-FC1A-4FD9-9042-5CB86D10F324}"/>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29CA4"/>
            </a:solidFill>
            <a:ln>
              <a:solidFill>
                <a:srgbClr val="E30613"/>
              </a:solidFill>
            </a:ln>
            <a:effectLst/>
          </c:spPr>
          <c:invertIfNegative val="0"/>
          <c:val>
            <c:numRef>
              <c:f>Text!$K$384</c:f>
              <c:numCache>
                <c:formatCode>General</c:formatCode>
                <c:ptCount val="1"/>
                <c:pt idx="0">
                  <c:v>0</c:v>
                </c:pt>
              </c:numCache>
            </c:numRef>
          </c:val>
          <c:extLst>
            <c:ext xmlns:c16="http://schemas.microsoft.com/office/drawing/2014/chart" uri="{C3380CC4-5D6E-409C-BE32-E72D297353CC}">
              <c16:uniqueId val="{00000000-0090-40D2-9022-7529E37F40FD}"/>
            </c:ext>
          </c:extLst>
        </c:ser>
        <c:ser>
          <c:idx val="1"/>
          <c:order val="1"/>
          <c:spPr>
            <a:solidFill>
              <a:srgbClr val="F29CA4"/>
            </a:solidFill>
            <a:ln>
              <a:solidFill>
                <a:srgbClr val="E30613"/>
              </a:solidFill>
            </a:ln>
            <a:effectLst/>
          </c:spPr>
          <c:invertIfNegative val="0"/>
          <c:val>
            <c:numRef>
              <c:f>Text!$K$385</c:f>
              <c:numCache>
                <c:formatCode>General</c:formatCode>
                <c:ptCount val="1"/>
                <c:pt idx="0">
                  <c:v>0</c:v>
                </c:pt>
              </c:numCache>
            </c:numRef>
          </c:val>
          <c:extLst>
            <c:ext xmlns:c16="http://schemas.microsoft.com/office/drawing/2014/chart" uri="{C3380CC4-5D6E-409C-BE32-E72D297353CC}">
              <c16:uniqueId val="{00000001-0090-40D2-9022-7529E37F40FD}"/>
            </c:ext>
          </c:extLst>
        </c:ser>
        <c:ser>
          <c:idx val="2"/>
          <c:order val="2"/>
          <c:spPr>
            <a:solidFill>
              <a:srgbClr val="F29CA4"/>
            </a:solidFill>
            <a:ln>
              <a:solidFill>
                <a:srgbClr val="E30613"/>
              </a:solidFill>
            </a:ln>
            <a:effectLst/>
          </c:spPr>
          <c:invertIfNegative val="0"/>
          <c:val>
            <c:numRef>
              <c:f>Text!$K$386</c:f>
              <c:numCache>
                <c:formatCode>General</c:formatCode>
                <c:ptCount val="1"/>
                <c:pt idx="0">
                  <c:v>0</c:v>
                </c:pt>
              </c:numCache>
            </c:numRef>
          </c:val>
          <c:extLst>
            <c:ext xmlns:c16="http://schemas.microsoft.com/office/drawing/2014/chart" uri="{C3380CC4-5D6E-409C-BE32-E72D297353CC}">
              <c16:uniqueId val="{00000002-0090-40D2-9022-7529E37F40FD}"/>
            </c:ext>
          </c:extLst>
        </c:ser>
        <c:ser>
          <c:idx val="3"/>
          <c:order val="3"/>
          <c:spPr>
            <a:solidFill>
              <a:srgbClr val="F29CA4"/>
            </a:solidFill>
            <a:ln>
              <a:solidFill>
                <a:srgbClr val="E30613"/>
              </a:solidFill>
            </a:ln>
            <a:effectLst/>
          </c:spPr>
          <c:invertIfNegative val="0"/>
          <c:val>
            <c:numRef>
              <c:f>Text!$K$387</c:f>
              <c:numCache>
                <c:formatCode>General</c:formatCode>
                <c:ptCount val="1"/>
                <c:pt idx="0">
                  <c:v>0</c:v>
                </c:pt>
              </c:numCache>
            </c:numRef>
          </c:val>
          <c:extLst>
            <c:ext xmlns:c16="http://schemas.microsoft.com/office/drawing/2014/chart" uri="{C3380CC4-5D6E-409C-BE32-E72D297353CC}">
              <c16:uniqueId val="{00000003-0090-40D2-9022-7529E37F40FD}"/>
            </c:ext>
          </c:extLst>
        </c:ser>
        <c:ser>
          <c:idx val="4"/>
          <c:order val="4"/>
          <c:spPr>
            <a:solidFill>
              <a:schemeClr val="bg1"/>
            </a:solidFill>
            <a:ln>
              <a:solidFill>
                <a:srgbClr val="E30613"/>
              </a:solidFill>
            </a:ln>
            <a:effectLst/>
          </c:spPr>
          <c:invertIfNegative val="0"/>
          <c:val>
            <c:numRef>
              <c:f>Text!$K$388</c:f>
              <c:numCache>
                <c:formatCode>General</c:formatCode>
                <c:ptCount val="1"/>
                <c:pt idx="0">
                  <c:v>0.5</c:v>
                </c:pt>
              </c:numCache>
            </c:numRef>
          </c:val>
          <c:extLst>
            <c:ext xmlns:c16="http://schemas.microsoft.com/office/drawing/2014/chart" uri="{C3380CC4-5D6E-409C-BE32-E72D297353CC}">
              <c16:uniqueId val="{00000004-0090-40D2-9022-7529E37F40FD}"/>
            </c:ext>
          </c:extLst>
        </c:ser>
        <c:ser>
          <c:idx val="5"/>
          <c:order val="5"/>
          <c:spPr>
            <a:solidFill>
              <a:schemeClr val="bg1"/>
            </a:solidFill>
            <a:ln>
              <a:solidFill>
                <a:srgbClr val="E30613"/>
              </a:solidFill>
            </a:ln>
            <a:effectLst/>
          </c:spPr>
          <c:invertIfNegative val="0"/>
          <c:val>
            <c:numRef>
              <c:f>Text!$K$389</c:f>
              <c:numCache>
                <c:formatCode>General</c:formatCode>
                <c:ptCount val="1"/>
                <c:pt idx="0">
                  <c:v>0.15</c:v>
                </c:pt>
              </c:numCache>
            </c:numRef>
          </c:val>
          <c:extLst>
            <c:ext xmlns:c16="http://schemas.microsoft.com/office/drawing/2014/chart" uri="{C3380CC4-5D6E-409C-BE32-E72D297353CC}">
              <c16:uniqueId val="{00000005-0090-40D2-9022-7529E37F40FD}"/>
            </c:ext>
          </c:extLst>
        </c:ser>
        <c:ser>
          <c:idx val="6"/>
          <c:order val="6"/>
          <c:spPr>
            <a:solidFill>
              <a:schemeClr val="bg1"/>
            </a:solidFill>
            <a:ln>
              <a:solidFill>
                <a:srgbClr val="E30613"/>
              </a:solidFill>
            </a:ln>
            <a:effectLst/>
          </c:spPr>
          <c:invertIfNegative val="0"/>
          <c:val>
            <c:numRef>
              <c:f>Text!$K$390</c:f>
              <c:numCache>
                <c:formatCode>General</c:formatCode>
                <c:ptCount val="1"/>
                <c:pt idx="0">
                  <c:v>0.2</c:v>
                </c:pt>
              </c:numCache>
            </c:numRef>
          </c:val>
          <c:extLst>
            <c:ext xmlns:c16="http://schemas.microsoft.com/office/drawing/2014/chart" uri="{C3380CC4-5D6E-409C-BE32-E72D297353CC}">
              <c16:uniqueId val="{00000006-0090-40D2-9022-7529E37F40FD}"/>
            </c:ext>
          </c:extLst>
        </c:ser>
        <c:ser>
          <c:idx val="7"/>
          <c:order val="7"/>
          <c:spPr>
            <a:solidFill>
              <a:schemeClr val="bg1"/>
            </a:solidFill>
            <a:ln>
              <a:solidFill>
                <a:srgbClr val="E30613"/>
              </a:solidFill>
            </a:ln>
            <a:effectLst/>
          </c:spPr>
          <c:invertIfNegative val="0"/>
          <c:val>
            <c:numRef>
              <c:f>Text!$K$391</c:f>
              <c:numCache>
                <c:formatCode>General</c:formatCode>
                <c:ptCount val="1"/>
                <c:pt idx="0">
                  <c:v>0.15</c:v>
                </c:pt>
              </c:numCache>
            </c:numRef>
          </c:val>
          <c:extLst>
            <c:ext xmlns:c16="http://schemas.microsoft.com/office/drawing/2014/chart" uri="{C3380CC4-5D6E-409C-BE32-E72D297353CC}">
              <c16:uniqueId val="{00000007-0090-40D2-9022-7529E37F40FD}"/>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94D0E8"/>
            </a:solidFill>
            <a:ln>
              <a:solidFill>
                <a:srgbClr val="36B7DA"/>
              </a:solidFill>
            </a:ln>
            <a:effectLst/>
          </c:spPr>
          <c:invertIfNegative val="0"/>
          <c:val>
            <c:numRef>
              <c:f>Text!$L$384</c:f>
              <c:numCache>
                <c:formatCode>General</c:formatCode>
                <c:ptCount val="1"/>
                <c:pt idx="0">
                  <c:v>0</c:v>
                </c:pt>
              </c:numCache>
            </c:numRef>
          </c:val>
          <c:extLst>
            <c:ext xmlns:c16="http://schemas.microsoft.com/office/drawing/2014/chart" uri="{C3380CC4-5D6E-409C-BE32-E72D297353CC}">
              <c16:uniqueId val="{00000000-CC2C-4D23-94C9-C38E21DE6BE6}"/>
            </c:ext>
          </c:extLst>
        </c:ser>
        <c:ser>
          <c:idx val="1"/>
          <c:order val="1"/>
          <c:spPr>
            <a:solidFill>
              <a:srgbClr val="94D0E8"/>
            </a:solidFill>
            <a:ln>
              <a:solidFill>
                <a:srgbClr val="36B7DA"/>
              </a:solidFill>
            </a:ln>
            <a:effectLst/>
          </c:spPr>
          <c:invertIfNegative val="0"/>
          <c:val>
            <c:numRef>
              <c:f>Text!$L$385</c:f>
              <c:numCache>
                <c:formatCode>General</c:formatCode>
                <c:ptCount val="1"/>
                <c:pt idx="0">
                  <c:v>0</c:v>
                </c:pt>
              </c:numCache>
            </c:numRef>
          </c:val>
          <c:extLst>
            <c:ext xmlns:c16="http://schemas.microsoft.com/office/drawing/2014/chart" uri="{C3380CC4-5D6E-409C-BE32-E72D297353CC}">
              <c16:uniqueId val="{00000001-CC2C-4D23-94C9-C38E21DE6BE6}"/>
            </c:ext>
          </c:extLst>
        </c:ser>
        <c:ser>
          <c:idx val="2"/>
          <c:order val="2"/>
          <c:spPr>
            <a:solidFill>
              <a:srgbClr val="94D0E8"/>
            </a:solidFill>
            <a:ln>
              <a:solidFill>
                <a:srgbClr val="36B7DA"/>
              </a:solidFill>
            </a:ln>
            <a:effectLst/>
          </c:spPr>
          <c:invertIfNegative val="0"/>
          <c:val>
            <c:numRef>
              <c:f>Text!$L$386</c:f>
              <c:numCache>
                <c:formatCode>General</c:formatCode>
                <c:ptCount val="1"/>
                <c:pt idx="0">
                  <c:v>0</c:v>
                </c:pt>
              </c:numCache>
            </c:numRef>
          </c:val>
          <c:extLst>
            <c:ext xmlns:c16="http://schemas.microsoft.com/office/drawing/2014/chart" uri="{C3380CC4-5D6E-409C-BE32-E72D297353CC}">
              <c16:uniqueId val="{00000002-CC2C-4D23-94C9-C38E21DE6BE6}"/>
            </c:ext>
          </c:extLst>
        </c:ser>
        <c:ser>
          <c:idx val="3"/>
          <c:order val="3"/>
          <c:spPr>
            <a:solidFill>
              <a:srgbClr val="94D0E8"/>
            </a:solidFill>
            <a:ln>
              <a:solidFill>
                <a:srgbClr val="36B7DA"/>
              </a:solidFill>
            </a:ln>
            <a:effectLst/>
          </c:spPr>
          <c:invertIfNegative val="0"/>
          <c:val>
            <c:numRef>
              <c:f>Text!$L$387</c:f>
              <c:numCache>
                <c:formatCode>General</c:formatCode>
                <c:ptCount val="1"/>
                <c:pt idx="0">
                  <c:v>0</c:v>
                </c:pt>
              </c:numCache>
            </c:numRef>
          </c:val>
          <c:extLst>
            <c:ext xmlns:c16="http://schemas.microsoft.com/office/drawing/2014/chart" uri="{C3380CC4-5D6E-409C-BE32-E72D297353CC}">
              <c16:uniqueId val="{00000003-CC2C-4D23-94C9-C38E21DE6BE6}"/>
            </c:ext>
          </c:extLst>
        </c:ser>
        <c:ser>
          <c:idx val="4"/>
          <c:order val="4"/>
          <c:spPr>
            <a:solidFill>
              <a:schemeClr val="bg1"/>
            </a:solidFill>
            <a:ln>
              <a:solidFill>
                <a:srgbClr val="36B7DA"/>
              </a:solidFill>
            </a:ln>
            <a:effectLst/>
          </c:spPr>
          <c:invertIfNegative val="0"/>
          <c:val>
            <c:numRef>
              <c:f>Text!$L$388</c:f>
              <c:numCache>
                <c:formatCode>General</c:formatCode>
                <c:ptCount val="1"/>
                <c:pt idx="0">
                  <c:v>0.5</c:v>
                </c:pt>
              </c:numCache>
            </c:numRef>
          </c:val>
          <c:extLst>
            <c:ext xmlns:c16="http://schemas.microsoft.com/office/drawing/2014/chart" uri="{C3380CC4-5D6E-409C-BE32-E72D297353CC}">
              <c16:uniqueId val="{00000004-CC2C-4D23-94C9-C38E21DE6BE6}"/>
            </c:ext>
          </c:extLst>
        </c:ser>
        <c:ser>
          <c:idx val="5"/>
          <c:order val="5"/>
          <c:spPr>
            <a:solidFill>
              <a:schemeClr val="bg1"/>
            </a:solidFill>
            <a:ln>
              <a:solidFill>
                <a:srgbClr val="36B7DA"/>
              </a:solidFill>
            </a:ln>
            <a:effectLst/>
          </c:spPr>
          <c:invertIfNegative val="0"/>
          <c:val>
            <c:numRef>
              <c:f>Text!$L$389</c:f>
              <c:numCache>
                <c:formatCode>General</c:formatCode>
                <c:ptCount val="1"/>
                <c:pt idx="0">
                  <c:v>0.15</c:v>
                </c:pt>
              </c:numCache>
            </c:numRef>
          </c:val>
          <c:extLst>
            <c:ext xmlns:c16="http://schemas.microsoft.com/office/drawing/2014/chart" uri="{C3380CC4-5D6E-409C-BE32-E72D297353CC}">
              <c16:uniqueId val="{00000005-CC2C-4D23-94C9-C38E21DE6BE6}"/>
            </c:ext>
          </c:extLst>
        </c:ser>
        <c:ser>
          <c:idx val="6"/>
          <c:order val="6"/>
          <c:spPr>
            <a:solidFill>
              <a:schemeClr val="bg1"/>
            </a:solidFill>
            <a:ln>
              <a:solidFill>
                <a:srgbClr val="36B7DA"/>
              </a:solidFill>
            </a:ln>
            <a:effectLst/>
          </c:spPr>
          <c:invertIfNegative val="0"/>
          <c:val>
            <c:numRef>
              <c:f>Text!$L$390</c:f>
              <c:numCache>
                <c:formatCode>General</c:formatCode>
                <c:ptCount val="1"/>
                <c:pt idx="0">
                  <c:v>0.2</c:v>
                </c:pt>
              </c:numCache>
            </c:numRef>
          </c:val>
          <c:extLst>
            <c:ext xmlns:c16="http://schemas.microsoft.com/office/drawing/2014/chart" uri="{C3380CC4-5D6E-409C-BE32-E72D297353CC}">
              <c16:uniqueId val="{00000006-CC2C-4D23-94C9-C38E21DE6BE6}"/>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0070C0"/>
          </a:solidFill>
        </a:ln>
        <a:effectLst/>
      </c:spPr>
    </c:plotArea>
    <c:plotVisOnly val="1"/>
    <c:dispBlanksAs val="gap"/>
    <c:showDLblsOverMax val="0"/>
  </c:chart>
  <c:spPr>
    <a:noFill/>
    <a:ln w="9525" cap="flat" cmpd="sng" algn="ctr">
      <a:solidFill>
        <a:srgbClr val="36B7DA"/>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3DEEF"/>
            </a:solidFill>
            <a:ln>
              <a:solidFill>
                <a:srgbClr val="36B7DA"/>
              </a:solidFill>
            </a:ln>
            <a:effectLst/>
          </c:spPr>
          <c:invertIfNegative val="0"/>
          <c:cat>
            <c:strLit>
              <c:ptCount val="3"/>
              <c:pt idx="0">
                <c:v>1</c:v>
              </c:pt>
              <c:pt idx="1">
                <c:v>2</c:v>
              </c:pt>
              <c:pt idx="2">
                <c:v>3</c:v>
              </c:pt>
              <c:pt idx="3">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Text!$K$350:$M$350</c15:sqref>
                  </c15:fullRef>
                </c:ext>
              </c:extLst>
              <c:f>Text!$K$350:$M$350</c:f>
              <c:numCache>
                <c:formatCode>0.00</c:formatCode>
                <c:ptCount val="3"/>
                <c:pt idx="0">
                  <c:v>0</c:v>
                </c:pt>
                <c:pt idx="1">
                  <c:v>0</c:v>
                </c:pt>
                <c:pt idx="2">
                  <c:v>0</c:v>
                </c:pt>
              </c:numCache>
            </c:numRef>
          </c:val>
          <c:extLst>
            <c:ext xmlns:c16="http://schemas.microsoft.com/office/drawing/2014/chart" uri="{C3380CC4-5D6E-409C-BE32-E72D297353CC}">
              <c16:uniqueId val="{00000000-CB6F-4607-B2D4-8E4B2DF686D1}"/>
            </c:ext>
          </c:extLst>
        </c:ser>
        <c:ser>
          <c:idx val="1"/>
          <c:order val="1"/>
          <c:spPr>
            <a:solidFill>
              <a:srgbClr val="B3DEEF"/>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Text!$K$351:$N$351</c15:sqref>
                  </c15:fullRef>
                </c:ext>
              </c:extLst>
              <c:f>Text!$K$351:$M$351</c:f>
              <c:numCache>
                <c:formatCode>0.00</c:formatCode>
                <c:ptCount val="3"/>
                <c:pt idx="0">
                  <c:v>0</c:v>
                </c:pt>
                <c:pt idx="1">
                  <c:v>0</c:v>
                </c:pt>
                <c:pt idx="2">
                  <c:v>0</c:v>
                </c:pt>
              </c:numCache>
            </c:numRef>
          </c:val>
          <c:extLst>
            <c:ext xmlns:c16="http://schemas.microsoft.com/office/drawing/2014/chart" uri="{C3380CC4-5D6E-409C-BE32-E72D297353CC}">
              <c16:uniqueId val="{00000001-CB6F-4607-B2D4-8E4B2DF686D1}"/>
            </c:ext>
          </c:extLst>
        </c:ser>
        <c:ser>
          <c:idx val="2"/>
          <c:order val="2"/>
          <c:spPr>
            <a:solidFill>
              <a:srgbClr val="B3DEEF"/>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Text!$K$352:$N$352</c15:sqref>
                  </c15:fullRef>
                </c:ext>
              </c:extLst>
              <c:f>Text!$K$352:$M$352</c:f>
              <c:numCache>
                <c:formatCode>0.00</c:formatCode>
                <c:ptCount val="3"/>
                <c:pt idx="0">
                  <c:v>0</c:v>
                </c:pt>
                <c:pt idx="1">
                  <c:v>0</c:v>
                </c:pt>
                <c:pt idx="2">
                  <c:v>0</c:v>
                </c:pt>
              </c:numCache>
            </c:numRef>
          </c:val>
          <c:extLst>
            <c:ext xmlns:c16="http://schemas.microsoft.com/office/drawing/2014/chart" uri="{C3380CC4-5D6E-409C-BE32-E72D297353CC}">
              <c16:uniqueId val="{00000002-CB6F-4607-B2D4-8E4B2DF686D1}"/>
            </c:ext>
          </c:extLst>
        </c:ser>
        <c:ser>
          <c:idx val="3"/>
          <c:order val="3"/>
          <c:spPr>
            <a:solidFill>
              <a:srgbClr val="B3DEEF"/>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Text!$K$353:$N$353</c15:sqref>
                  </c15:fullRef>
                </c:ext>
              </c:extLst>
              <c:f>Text!$K$353:$M$353</c:f>
              <c:numCache>
                <c:formatCode>0.00</c:formatCode>
                <c:ptCount val="3"/>
                <c:pt idx="0">
                  <c:v>0</c:v>
                </c:pt>
                <c:pt idx="1">
                  <c:v>0</c:v>
                </c:pt>
                <c:pt idx="2">
                  <c:v>0</c:v>
                </c:pt>
              </c:numCache>
            </c:numRef>
          </c:val>
          <c:extLst>
            <c:ext xmlns:c16="http://schemas.microsoft.com/office/drawing/2014/chart" uri="{C3380CC4-5D6E-409C-BE32-E72D297353CC}">
              <c16:uniqueId val="{00000003-CB6F-4607-B2D4-8E4B2DF686D1}"/>
            </c:ext>
          </c:extLst>
        </c:ser>
        <c:ser>
          <c:idx val="4"/>
          <c:order val="4"/>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Text!$K$355:$N$355</c15:sqref>
                  </c15:fullRef>
                </c:ext>
              </c:extLst>
              <c:f>Text!$K$355:$M$355</c:f>
              <c:numCache>
                <c:formatCode>0.00</c:formatCode>
                <c:ptCount val="3"/>
                <c:pt idx="0">
                  <c:v>0.5</c:v>
                </c:pt>
                <c:pt idx="1">
                  <c:v>0.5</c:v>
                </c:pt>
                <c:pt idx="2">
                  <c:v>0.5</c:v>
                </c:pt>
              </c:numCache>
            </c:numRef>
          </c:val>
          <c:extLst>
            <c:ext xmlns:c16="http://schemas.microsoft.com/office/drawing/2014/chart" uri="{C3380CC4-5D6E-409C-BE32-E72D297353CC}">
              <c16:uniqueId val="{00000004-CB6F-4607-B2D4-8E4B2DF686D1}"/>
            </c:ext>
          </c:extLst>
        </c:ser>
        <c:ser>
          <c:idx val="5"/>
          <c:order val="5"/>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Text!$K$356:$N$356</c15:sqref>
                  </c15:fullRef>
                </c:ext>
              </c:extLst>
              <c:f>Text!$K$356:$M$356</c:f>
              <c:numCache>
                <c:formatCode>0.00</c:formatCode>
                <c:ptCount val="3"/>
                <c:pt idx="0">
                  <c:v>0.15</c:v>
                </c:pt>
                <c:pt idx="1">
                  <c:v>0.15</c:v>
                </c:pt>
                <c:pt idx="2">
                  <c:v>0.15</c:v>
                </c:pt>
              </c:numCache>
            </c:numRef>
          </c:val>
          <c:extLst>
            <c:ext xmlns:c16="http://schemas.microsoft.com/office/drawing/2014/chart" uri="{C3380CC4-5D6E-409C-BE32-E72D297353CC}">
              <c16:uniqueId val="{00000005-CB6F-4607-B2D4-8E4B2DF686D1}"/>
            </c:ext>
          </c:extLst>
        </c:ser>
        <c:ser>
          <c:idx val="6"/>
          <c:order val="6"/>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Text!$K$357:$N$357</c15:sqref>
                  </c15:fullRef>
                </c:ext>
              </c:extLst>
              <c:f>Text!$K$357:$M$357</c:f>
              <c:numCache>
                <c:formatCode>0.00</c:formatCode>
                <c:ptCount val="3"/>
                <c:pt idx="0">
                  <c:v>0.2</c:v>
                </c:pt>
                <c:pt idx="1">
                  <c:v>0.2</c:v>
                </c:pt>
                <c:pt idx="2">
                  <c:v>0.2</c:v>
                </c:pt>
              </c:numCache>
            </c:numRef>
          </c:val>
          <c:extLst>
            <c:ext xmlns:c16="http://schemas.microsoft.com/office/drawing/2014/chart" uri="{C3380CC4-5D6E-409C-BE32-E72D297353CC}">
              <c16:uniqueId val="{00000006-CB6F-4607-B2D4-8E4B2DF686D1}"/>
            </c:ext>
          </c:extLst>
        </c:ser>
        <c:ser>
          <c:idx val="7"/>
          <c:order val="7"/>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Text!$K$358:$N$358</c15:sqref>
                  </c15:fullRef>
                </c:ext>
              </c:extLst>
              <c:f>Text!$K$358:$M$358</c:f>
              <c:numCache>
                <c:formatCode>0.00</c:formatCode>
                <c:ptCount val="3"/>
                <c:pt idx="0">
                  <c:v>0.15</c:v>
                </c:pt>
                <c:pt idx="1">
                  <c:v>0.15</c:v>
                </c:pt>
                <c:pt idx="2">
                  <c:v>0.15</c:v>
                </c:pt>
              </c:numCache>
            </c:numRef>
          </c:val>
          <c:extLst>
            <c:ext xmlns:c16="http://schemas.microsoft.com/office/drawing/2014/chart" uri="{C3380CC4-5D6E-409C-BE32-E72D297353CC}">
              <c16:uniqueId val="{00000007-CB6F-4607-B2D4-8E4B2DF686D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0070C0"/>
          </a:solidFill>
        </a:ln>
        <a:effectLst/>
      </c:spPr>
    </c:plotArea>
    <c:plotVisOnly val="1"/>
    <c:dispBlanksAs val="gap"/>
    <c:showDLblsOverMax val="0"/>
  </c:chart>
  <c:spPr>
    <a:noFill/>
    <a:ln w="9525" cap="flat" cmpd="sng" algn="ctr">
      <a:solidFill>
        <a:srgbClr val="36B7DA"/>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6D383"/>
            </a:solidFill>
            <a:ln>
              <a:solidFill>
                <a:srgbClr val="76B729"/>
              </a:solidFill>
            </a:ln>
            <a:effectLst/>
          </c:spPr>
          <c:invertIfNegative val="0"/>
          <c:val>
            <c:numRef>
              <c:f>Text!$M$384</c:f>
              <c:numCache>
                <c:formatCode>General</c:formatCode>
                <c:ptCount val="1"/>
                <c:pt idx="0">
                  <c:v>0</c:v>
                </c:pt>
              </c:numCache>
            </c:numRef>
          </c:val>
          <c:extLst>
            <c:ext xmlns:c16="http://schemas.microsoft.com/office/drawing/2014/chart" uri="{C3380CC4-5D6E-409C-BE32-E72D297353CC}">
              <c16:uniqueId val="{00000000-5204-4B9A-99FA-229F1F7F7000}"/>
            </c:ext>
          </c:extLst>
        </c:ser>
        <c:ser>
          <c:idx val="1"/>
          <c:order val="1"/>
          <c:spPr>
            <a:solidFill>
              <a:srgbClr val="B6D383"/>
            </a:solidFill>
            <a:ln>
              <a:solidFill>
                <a:srgbClr val="76B729"/>
              </a:solidFill>
            </a:ln>
            <a:effectLst/>
          </c:spPr>
          <c:invertIfNegative val="0"/>
          <c:val>
            <c:numRef>
              <c:f>Text!$M$385</c:f>
              <c:numCache>
                <c:formatCode>General</c:formatCode>
                <c:ptCount val="1"/>
                <c:pt idx="0">
                  <c:v>0</c:v>
                </c:pt>
              </c:numCache>
            </c:numRef>
          </c:val>
          <c:extLst>
            <c:ext xmlns:c16="http://schemas.microsoft.com/office/drawing/2014/chart" uri="{C3380CC4-5D6E-409C-BE32-E72D297353CC}">
              <c16:uniqueId val="{00000001-5204-4B9A-99FA-229F1F7F7000}"/>
            </c:ext>
          </c:extLst>
        </c:ser>
        <c:ser>
          <c:idx val="2"/>
          <c:order val="2"/>
          <c:spPr>
            <a:solidFill>
              <a:srgbClr val="B6D383"/>
            </a:solidFill>
            <a:ln>
              <a:solidFill>
                <a:schemeClr val="accent6">
                  <a:lumMod val="50000"/>
                </a:schemeClr>
              </a:solidFill>
            </a:ln>
            <a:effectLst/>
          </c:spPr>
          <c:invertIfNegative val="0"/>
          <c:dPt>
            <c:idx val="0"/>
            <c:invertIfNegative val="0"/>
            <c:bubble3D val="0"/>
            <c:spPr>
              <a:solidFill>
                <a:srgbClr val="B6D383"/>
              </a:solidFill>
              <a:ln>
                <a:solidFill>
                  <a:srgbClr val="76B729"/>
                </a:solidFill>
              </a:ln>
              <a:effectLst/>
            </c:spPr>
            <c:extLst>
              <c:ext xmlns:c16="http://schemas.microsoft.com/office/drawing/2014/chart" uri="{C3380CC4-5D6E-409C-BE32-E72D297353CC}">
                <c16:uniqueId val="{00000003-5204-4B9A-99FA-229F1F7F7000}"/>
              </c:ext>
            </c:extLst>
          </c:dPt>
          <c:val>
            <c:numRef>
              <c:f>Text!$M$386</c:f>
              <c:numCache>
                <c:formatCode>General</c:formatCode>
                <c:ptCount val="1"/>
                <c:pt idx="0">
                  <c:v>0</c:v>
                </c:pt>
              </c:numCache>
            </c:numRef>
          </c:val>
          <c:extLst>
            <c:ext xmlns:c16="http://schemas.microsoft.com/office/drawing/2014/chart" uri="{C3380CC4-5D6E-409C-BE32-E72D297353CC}">
              <c16:uniqueId val="{00000004-5204-4B9A-99FA-229F1F7F7000}"/>
            </c:ext>
          </c:extLst>
        </c:ser>
        <c:ser>
          <c:idx val="3"/>
          <c:order val="3"/>
          <c:spPr>
            <a:solidFill>
              <a:srgbClr val="B6D383"/>
            </a:solidFill>
            <a:ln>
              <a:solidFill>
                <a:srgbClr val="76B729"/>
              </a:solidFill>
            </a:ln>
            <a:effectLst/>
          </c:spPr>
          <c:invertIfNegative val="0"/>
          <c:val>
            <c:numRef>
              <c:f>Text!$M$387</c:f>
              <c:numCache>
                <c:formatCode>General</c:formatCode>
                <c:ptCount val="1"/>
                <c:pt idx="0">
                  <c:v>0</c:v>
                </c:pt>
              </c:numCache>
            </c:numRef>
          </c:val>
          <c:extLst>
            <c:ext xmlns:c16="http://schemas.microsoft.com/office/drawing/2014/chart" uri="{C3380CC4-5D6E-409C-BE32-E72D297353CC}">
              <c16:uniqueId val="{00000005-5204-4B9A-99FA-229F1F7F7000}"/>
            </c:ext>
          </c:extLst>
        </c:ser>
        <c:ser>
          <c:idx val="4"/>
          <c:order val="4"/>
          <c:spPr>
            <a:solidFill>
              <a:schemeClr val="bg1"/>
            </a:solidFill>
            <a:ln>
              <a:solidFill>
                <a:srgbClr val="76B729"/>
              </a:solidFill>
            </a:ln>
            <a:effectLst/>
          </c:spPr>
          <c:invertIfNegative val="0"/>
          <c:val>
            <c:numRef>
              <c:f>Text!$M$388</c:f>
              <c:numCache>
                <c:formatCode>General</c:formatCode>
                <c:ptCount val="1"/>
                <c:pt idx="0">
                  <c:v>0.5</c:v>
                </c:pt>
              </c:numCache>
            </c:numRef>
          </c:val>
          <c:extLst>
            <c:ext xmlns:c16="http://schemas.microsoft.com/office/drawing/2014/chart" uri="{C3380CC4-5D6E-409C-BE32-E72D297353CC}">
              <c16:uniqueId val="{00000006-5204-4B9A-99FA-229F1F7F7000}"/>
            </c:ext>
          </c:extLst>
        </c:ser>
        <c:ser>
          <c:idx val="5"/>
          <c:order val="5"/>
          <c:spPr>
            <a:solidFill>
              <a:schemeClr val="bg1"/>
            </a:solidFill>
            <a:ln>
              <a:solidFill>
                <a:srgbClr val="76B729"/>
              </a:solidFill>
            </a:ln>
            <a:effectLst/>
          </c:spPr>
          <c:invertIfNegative val="0"/>
          <c:val>
            <c:numRef>
              <c:f>Text!$M$389</c:f>
              <c:numCache>
                <c:formatCode>General</c:formatCode>
                <c:ptCount val="1"/>
                <c:pt idx="0">
                  <c:v>0.15</c:v>
                </c:pt>
              </c:numCache>
            </c:numRef>
          </c:val>
          <c:extLst>
            <c:ext xmlns:c16="http://schemas.microsoft.com/office/drawing/2014/chart" uri="{C3380CC4-5D6E-409C-BE32-E72D297353CC}">
              <c16:uniqueId val="{00000007-5204-4B9A-99FA-229F1F7F7000}"/>
            </c:ext>
          </c:extLst>
        </c:ser>
        <c:ser>
          <c:idx val="6"/>
          <c:order val="6"/>
          <c:spPr>
            <a:solidFill>
              <a:schemeClr val="bg1"/>
            </a:solidFill>
            <a:ln>
              <a:solidFill>
                <a:srgbClr val="76B729"/>
              </a:solidFill>
            </a:ln>
            <a:effectLst/>
          </c:spPr>
          <c:invertIfNegative val="0"/>
          <c:val>
            <c:numRef>
              <c:f>Text!$M$390</c:f>
              <c:numCache>
                <c:formatCode>General</c:formatCode>
                <c:ptCount val="1"/>
                <c:pt idx="0">
                  <c:v>0.2</c:v>
                </c:pt>
              </c:numCache>
            </c:numRef>
          </c:val>
          <c:extLst>
            <c:ext xmlns:c16="http://schemas.microsoft.com/office/drawing/2014/chart" uri="{C3380CC4-5D6E-409C-BE32-E72D297353CC}">
              <c16:uniqueId val="{00000008-5204-4B9A-99FA-229F1F7F7000}"/>
            </c:ext>
          </c:extLst>
        </c:ser>
        <c:ser>
          <c:idx val="7"/>
          <c:order val="7"/>
          <c:spPr>
            <a:solidFill>
              <a:schemeClr val="accent2">
                <a:lumMod val="60000"/>
              </a:schemeClr>
            </a:solidFill>
            <a:ln>
              <a:solidFill>
                <a:srgbClr val="76B729"/>
              </a:solidFill>
            </a:ln>
            <a:effectLst/>
          </c:spPr>
          <c:invertIfNegative val="0"/>
          <c:dPt>
            <c:idx val="0"/>
            <c:invertIfNegative val="0"/>
            <c:bubble3D val="0"/>
            <c:spPr>
              <a:solidFill>
                <a:schemeClr val="bg1"/>
              </a:solidFill>
              <a:ln>
                <a:solidFill>
                  <a:srgbClr val="76B729"/>
                </a:solidFill>
              </a:ln>
              <a:effectLst/>
            </c:spPr>
            <c:extLst>
              <c:ext xmlns:c16="http://schemas.microsoft.com/office/drawing/2014/chart" uri="{C3380CC4-5D6E-409C-BE32-E72D297353CC}">
                <c16:uniqueId val="{0000000A-5204-4B9A-99FA-229F1F7F7000}"/>
              </c:ext>
            </c:extLst>
          </c:dPt>
          <c:val>
            <c:numRef>
              <c:f>Text!$M$391</c:f>
              <c:numCache>
                <c:formatCode>General</c:formatCode>
                <c:ptCount val="1"/>
                <c:pt idx="0">
                  <c:v>0.15</c:v>
                </c:pt>
              </c:numCache>
            </c:numRef>
          </c:val>
          <c:extLst>
            <c:ext xmlns:c16="http://schemas.microsoft.com/office/drawing/2014/chart" uri="{C3380CC4-5D6E-409C-BE32-E72D297353CC}">
              <c16:uniqueId val="{0000000B-5204-4B9A-99FA-229F1F7F700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solidFill>
          <a:schemeClr val="bg1"/>
        </a:solidFill>
        <a:ln w="25400">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75000"/>
                </a:schemeClr>
              </a:solidFill>
            </a:ln>
            <a:effectLst/>
          </c:spPr>
          <c:invertIfNegative val="0"/>
          <c:val>
            <c:numRef>
              <c:f>Text!$N$384</c:f>
              <c:numCache>
                <c:formatCode>General</c:formatCode>
                <c:ptCount val="1"/>
                <c:pt idx="0">
                  <c:v>0</c:v>
                </c:pt>
              </c:numCache>
            </c:numRef>
          </c:val>
          <c:extLst>
            <c:ext xmlns:c16="http://schemas.microsoft.com/office/drawing/2014/chart" uri="{C3380CC4-5D6E-409C-BE32-E72D297353CC}">
              <c16:uniqueId val="{00000000-102F-47C4-9ADE-F70CE0931D02}"/>
            </c:ext>
          </c:extLst>
        </c:ser>
        <c:ser>
          <c:idx val="1"/>
          <c:order val="1"/>
          <c:spPr>
            <a:solidFill>
              <a:schemeClr val="accent4">
                <a:lumMod val="20000"/>
                <a:lumOff val="80000"/>
              </a:schemeClr>
            </a:solidFill>
            <a:ln>
              <a:solidFill>
                <a:schemeClr val="accent4">
                  <a:lumMod val="75000"/>
                </a:schemeClr>
              </a:solidFill>
            </a:ln>
            <a:effectLst/>
          </c:spPr>
          <c:invertIfNegative val="0"/>
          <c:val>
            <c:numRef>
              <c:f>Text!$N$385</c:f>
              <c:numCache>
                <c:formatCode>General</c:formatCode>
                <c:ptCount val="1"/>
                <c:pt idx="0">
                  <c:v>0</c:v>
                </c:pt>
              </c:numCache>
            </c:numRef>
          </c:val>
          <c:extLst>
            <c:ext xmlns:c16="http://schemas.microsoft.com/office/drawing/2014/chart" uri="{C3380CC4-5D6E-409C-BE32-E72D297353CC}">
              <c16:uniqueId val="{00000001-102F-47C4-9ADE-F70CE0931D02}"/>
            </c:ext>
          </c:extLst>
        </c:ser>
        <c:ser>
          <c:idx val="2"/>
          <c:order val="2"/>
          <c:spPr>
            <a:solidFill>
              <a:schemeClr val="accent4">
                <a:lumMod val="20000"/>
                <a:lumOff val="80000"/>
              </a:schemeClr>
            </a:solidFill>
            <a:ln>
              <a:solidFill>
                <a:schemeClr val="accent4">
                  <a:lumMod val="75000"/>
                </a:schemeClr>
              </a:solidFill>
            </a:ln>
            <a:effectLst/>
          </c:spPr>
          <c:invertIfNegative val="0"/>
          <c:val>
            <c:numRef>
              <c:f>Text!$N$386</c:f>
              <c:numCache>
                <c:formatCode>General</c:formatCode>
                <c:ptCount val="1"/>
                <c:pt idx="0">
                  <c:v>0</c:v>
                </c:pt>
              </c:numCache>
            </c:numRef>
          </c:val>
          <c:extLst>
            <c:ext xmlns:c16="http://schemas.microsoft.com/office/drawing/2014/chart" uri="{C3380CC4-5D6E-409C-BE32-E72D297353CC}">
              <c16:uniqueId val="{00000002-102F-47C4-9ADE-F70CE0931D02}"/>
            </c:ext>
          </c:extLst>
        </c:ser>
        <c:ser>
          <c:idx val="3"/>
          <c:order val="3"/>
          <c:spPr>
            <a:solidFill>
              <a:schemeClr val="accent4"/>
            </a:solidFill>
            <a:ln>
              <a:solidFill>
                <a:schemeClr val="accent4">
                  <a:lumMod val="75000"/>
                </a:schemeClr>
              </a:solidFill>
            </a:ln>
            <a:effectLst/>
          </c:spPr>
          <c:invertIfNegative val="0"/>
          <c:dPt>
            <c:idx val="0"/>
            <c:invertIfNegative val="0"/>
            <c:bubble3D val="0"/>
            <c:spPr>
              <a:solidFill>
                <a:schemeClr val="accent4">
                  <a:lumMod val="20000"/>
                  <a:lumOff val="80000"/>
                </a:schemeClr>
              </a:solidFill>
              <a:ln>
                <a:solidFill>
                  <a:schemeClr val="accent4">
                    <a:lumMod val="75000"/>
                  </a:schemeClr>
                </a:solidFill>
              </a:ln>
              <a:effectLst/>
            </c:spPr>
            <c:extLst>
              <c:ext xmlns:c16="http://schemas.microsoft.com/office/drawing/2014/chart" uri="{C3380CC4-5D6E-409C-BE32-E72D297353CC}">
                <c16:uniqueId val="{00000004-102F-47C4-9ADE-F70CE0931D02}"/>
              </c:ext>
            </c:extLst>
          </c:dPt>
          <c:val>
            <c:numRef>
              <c:f>Text!$N$387</c:f>
              <c:numCache>
                <c:formatCode>General</c:formatCode>
                <c:ptCount val="1"/>
                <c:pt idx="0">
                  <c:v>0</c:v>
                </c:pt>
              </c:numCache>
            </c:numRef>
          </c:val>
          <c:extLst>
            <c:ext xmlns:c16="http://schemas.microsoft.com/office/drawing/2014/chart" uri="{C3380CC4-5D6E-409C-BE32-E72D297353CC}">
              <c16:uniqueId val="{00000005-102F-47C4-9ADE-F70CE0931D02}"/>
            </c:ext>
          </c:extLst>
        </c:ser>
        <c:ser>
          <c:idx val="4"/>
          <c:order val="4"/>
          <c:spPr>
            <a:solidFill>
              <a:schemeClr val="bg1"/>
            </a:solidFill>
            <a:ln>
              <a:solidFill>
                <a:schemeClr val="accent4">
                  <a:lumMod val="75000"/>
                </a:schemeClr>
              </a:solidFill>
            </a:ln>
            <a:effectLst/>
          </c:spPr>
          <c:invertIfNegative val="0"/>
          <c:val>
            <c:numRef>
              <c:f>Text!$N$388</c:f>
              <c:numCache>
                <c:formatCode>General</c:formatCode>
                <c:ptCount val="1"/>
                <c:pt idx="0">
                  <c:v>0.5</c:v>
                </c:pt>
              </c:numCache>
            </c:numRef>
          </c:val>
          <c:extLst>
            <c:ext xmlns:c16="http://schemas.microsoft.com/office/drawing/2014/chart" uri="{C3380CC4-5D6E-409C-BE32-E72D297353CC}">
              <c16:uniqueId val="{00000006-102F-47C4-9ADE-F70CE0931D02}"/>
            </c:ext>
          </c:extLst>
        </c:ser>
        <c:ser>
          <c:idx val="5"/>
          <c:order val="5"/>
          <c:spPr>
            <a:solidFill>
              <a:schemeClr val="bg1"/>
            </a:solidFill>
            <a:ln>
              <a:solidFill>
                <a:schemeClr val="accent4">
                  <a:lumMod val="75000"/>
                </a:schemeClr>
              </a:solidFill>
            </a:ln>
            <a:effectLst/>
          </c:spPr>
          <c:invertIfNegative val="0"/>
          <c:val>
            <c:numRef>
              <c:f>Text!$N$389</c:f>
              <c:numCache>
                <c:formatCode>General</c:formatCode>
                <c:ptCount val="1"/>
                <c:pt idx="0">
                  <c:v>0.15</c:v>
                </c:pt>
              </c:numCache>
            </c:numRef>
          </c:val>
          <c:extLst>
            <c:ext xmlns:c16="http://schemas.microsoft.com/office/drawing/2014/chart" uri="{C3380CC4-5D6E-409C-BE32-E72D297353CC}">
              <c16:uniqueId val="{00000007-102F-47C4-9ADE-F70CE0931D02}"/>
            </c:ext>
          </c:extLst>
        </c:ser>
        <c:ser>
          <c:idx val="6"/>
          <c:order val="6"/>
          <c:spPr>
            <a:solidFill>
              <a:schemeClr val="bg1"/>
            </a:solidFill>
            <a:ln>
              <a:solidFill>
                <a:schemeClr val="accent4">
                  <a:lumMod val="75000"/>
                </a:schemeClr>
              </a:solidFill>
            </a:ln>
            <a:effectLst/>
          </c:spPr>
          <c:invertIfNegative val="0"/>
          <c:val>
            <c:numRef>
              <c:f>Text!$N$390</c:f>
              <c:numCache>
                <c:formatCode>General</c:formatCode>
                <c:ptCount val="1"/>
                <c:pt idx="0">
                  <c:v>0.2</c:v>
                </c:pt>
              </c:numCache>
            </c:numRef>
          </c:val>
          <c:extLst>
            <c:ext xmlns:c16="http://schemas.microsoft.com/office/drawing/2014/chart" uri="{C3380CC4-5D6E-409C-BE32-E72D297353CC}">
              <c16:uniqueId val="{00000008-102F-47C4-9ADE-F70CE0931D02}"/>
            </c:ext>
          </c:extLst>
        </c:ser>
        <c:ser>
          <c:idx val="7"/>
          <c:order val="7"/>
          <c:spPr>
            <a:solidFill>
              <a:schemeClr val="bg1"/>
            </a:solidFill>
            <a:ln>
              <a:solidFill>
                <a:schemeClr val="accent4">
                  <a:lumMod val="75000"/>
                </a:schemeClr>
              </a:solidFill>
            </a:ln>
            <a:effectLst/>
          </c:spPr>
          <c:invertIfNegative val="0"/>
          <c:val>
            <c:numRef>
              <c:f>Text!$N$391</c:f>
              <c:numCache>
                <c:formatCode>General</c:formatCode>
                <c:ptCount val="1"/>
                <c:pt idx="0">
                  <c:v>0.15</c:v>
                </c:pt>
              </c:numCache>
            </c:numRef>
          </c:val>
          <c:extLst>
            <c:ext xmlns:c16="http://schemas.microsoft.com/office/drawing/2014/chart" uri="{C3380CC4-5D6E-409C-BE32-E72D297353CC}">
              <c16:uniqueId val="{00000009-102F-47C4-9ADE-F70CE0931D02}"/>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solidFill>
          <a:schemeClr val="bg1"/>
        </a:solidFill>
        <a:ln w="25400">
          <a:noFill/>
        </a:ln>
        <a:effectLst/>
      </c:spPr>
    </c:plotArea>
    <c:plotVisOnly val="1"/>
    <c:dispBlanksAs val="gap"/>
    <c:showDLblsOverMax val="0"/>
  </c:chart>
  <c:spPr>
    <a:solidFill>
      <a:schemeClr val="bg1"/>
    </a:solidFill>
    <a:ln w="9525" cap="flat" cmpd="sng" algn="ctr">
      <a:solidFill>
        <a:schemeClr val="accent4">
          <a:lumMod val="7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Text!$K$362:$N$362</c15:sqref>
                  </c15:fullRef>
                </c:ext>
              </c:extLst>
              <c:f>Text!$L$362</c:f>
              <c:numCache>
                <c:formatCode>0.00</c:formatCode>
                <c:ptCount val="1"/>
                <c:pt idx="0">
                  <c:v>0</c:v>
                </c:pt>
              </c:numCache>
            </c:numRef>
          </c:val>
          <c:extLst>
            <c:ext xmlns:c16="http://schemas.microsoft.com/office/drawing/2014/chart" uri="{C3380CC4-5D6E-409C-BE32-E72D297353CC}">
              <c16:uniqueId val="{00000000-5A8E-4F2D-9970-47B1F8B6605A}"/>
            </c:ext>
          </c:extLst>
        </c:ser>
        <c:ser>
          <c:idx val="1"/>
          <c:order val="1"/>
          <c:spPr>
            <a:solidFill>
              <a:srgbClr val="D1E3B0"/>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Text!$K$363:$N$363</c15:sqref>
                  </c15:fullRef>
                </c:ext>
              </c:extLst>
              <c:f>Text!$L$363</c:f>
              <c:numCache>
                <c:formatCode>0.00</c:formatCode>
                <c:ptCount val="1"/>
                <c:pt idx="0">
                  <c:v>0</c:v>
                </c:pt>
              </c:numCache>
            </c:numRef>
          </c:val>
          <c:extLst>
            <c:ext xmlns:c16="http://schemas.microsoft.com/office/drawing/2014/chart" uri="{C3380CC4-5D6E-409C-BE32-E72D297353CC}">
              <c16:uniqueId val="{00000001-5A8E-4F2D-9970-47B1F8B6605A}"/>
            </c:ext>
          </c:extLst>
        </c:ser>
        <c:ser>
          <c:idx val="2"/>
          <c:order val="2"/>
          <c:spPr>
            <a:solidFill>
              <a:srgbClr val="D1E3B0"/>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Text!$K$364:$N$364</c15:sqref>
                  </c15:fullRef>
                </c:ext>
              </c:extLst>
              <c:f>Text!$L$364</c:f>
              <c:numCache>
                <c:formatCode>0.00</c:formatCode>
                <c:ptCount val="1"/>
                <c:pt idx="0">
                  <c:v>0</c:v>
                </c:pt>
              </c:numCache>
            </c:numRef>
          </c:val>
          <c:extLst>
            <c:ext xmlns:c16="http://schemas.microsoft.com/office/drawing/2014/chart" uri="{C3380CC4-5D6E-409C-BE32-E72D297353CC}">
              <c16:uniqueId val="{00000002-5A8E-4F2D-9970-47B1F8B6605A}"/>
            </c:ext>
          </c:extLst>
        </c:ser>
        <c:ser>
          <c:idx val="3"/>
          <c:order val="3"/>
          <c:spPr>
            <a:solidFill>
              <a:srgbClr val="D1E3B0"/>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Text!$K$365:$N$365</c15:sqref>
                  </c15:fullRef>
                </c:ext>
              </c:extLst>
              <c:f>Text!$L$365</c:f>
              <c:numCache>
                <c:formatCode>0.00</c:formatCode>
                <c:ptCount val="1"/>
                <c:pt idx="0">
                  <c:v>0</c:v>
                </c:pt>
              </c:numCache>
            </c:numRef>
          </c:val>
          <c:extLst>
            <c:ext xmlns:c16="http://schemas.microsoft.com/office/drawing/2014/chart" uri="{C3380CC4-5D6E-409C-BE32-E72D297353CC}">
              <c16:uniqueId val="{00000003-5A8E-4F2D-9970-47B1F8B6605A}"/>
            </c:ext>
          </c:extLst>
        </c:ser>
        <c:ser>
          <c:idx val="4"/>
          <c:order val="4"/>
          <c:spPr>
            <a:solidFill>
              <a:schemeClr val="bg1"/>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Text!$K$366:$N$366</c15:sqref>
                  </c15:fullRef>
                </c:ext>
              </c:extLst>
              <c:f>Text!$L$366</c:f>
              <c:numCache>
                <c:formatCode>0.00</c:formatCode>
                <c:ptCount val="1"/>
                <c:pt idx="0">
                  <c:v>0.5</c:v>
                </c:pt>
              </c:numCache>
            </c:numRef>
          </c:val>
          <c:extLst>
            <c:ext xmlns:c16="http://schemas.microsoft.com/office/drawing/2014/chart" uri="{C3380CC4-5D6E-409C-BE32-E72D297353CC}">
              <c16:uniqueId val="{00000004-5A8E-4F2D-9970-47B1F8B6605A}"/>
            </c:ext>
          </c:extLst>
        </c:ser>
        <c:ser>
          <c:idx val="5"/>
          <c:order val="5"/>
          <c:spPr>
            <a:solidFill>
              <a:schemeClr val="bg1"/>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Text!$K$367:$N$367</c15:sqref>
                  </c15:fullRef>
                </c:ext>
              </c:extLst>
              <c:f>Text!$L$367</c:f>
              <c:numCache>
                <c:formatCode>0.00</c:formatCode>
                <c:ptCount val="1"/>
                <c:pt idx="0">
                  <c:v>0.15</c:v>
                </c:pt>
              </c:numCache>
            </c:numRef>
          </c:val>
          <c:extLst>
            <c:ext xmlns:c16="http://schemas.microsoft.com/office/drawing/2014/chart" uri="{C3380CC4-5D6E-409C-BE32-E72D297353CC}">
              <c16:uniqueId val="{00000005-5A8E-4F2D-9970-47B1F8B6605A}"/>
            </c:ext>
          </c:extLst>
        </c:ser>
        <c:ser>
          <c:idx val="6"/>
          <c:order val="6"/>
          <c:spPr>
            <a:solidFill>
              <a:schemeClr val="bg1"/>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Text!$K$368:$N$368</c15:sqref>
                  </c15:fullRef>
                </c:ext>
              </c:extLst>
              <c:f>Text!$L$368</c:f>
              <c:numCache>
                <c:formatCode>0.00</c:formatCode>
                <c:ptCount val="1"/>
                <c:pt idx="0">
                  <c:v>0.2</c:v>
                </c:pt>
              </c:numCache>
            </c:numRef>
          </c:val>
          <c:extLst>
            <c:ext xmlns:c16="http://schemas.microsoft.com/office/drawing/2014/chart" uri="{C3380CC4-5D6E-409C-BE32-E72D297353CC}">
              <c16:uniqueId val="{00000006-5A8E-4F2D-9970-47B1F8B6605A}"/>
            </c:ext>
          </c:extLst>
        </c:ser>
        <c:ser>
          <c:idx val="7"/>
          <c:order val="7"/>
          <c:spPr>
            <a:solidFill>
              <a:schemeClr val="bg1"/>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Text!$K$369:$N$369</c15:sqref>
                  </c15:fullRef>
                </c:ext>
              </c:extLst>
              <c:f>Text!$L$369</c:f>
              <c:numCache>
                <c:formatCode>0.00</c:formatCode>
                <c:ptCount val="1"/>
                <c:pt idx="0">
                  <c:v>0.15</c:v>
                </c:pt>
              </c:numCache>
            </c:numRef>
          </c:val>
          <c:extLst>
            <c:ext xmlns:c16="http://schemas.microsoft.com/office/drawing/2014/chart" uri="{C3380CC4-5D6E-409C-BE32-E72D297353CC}">
              <c16:uniqueId val="{00000007-5A8E-4F2D-9970-47B1F8B6605A}"/>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Text!$K$362:$N$362</c15:sqref>
                  </c15:fullRef>
                </c:ext>
              </c:extLst>
              <c:f>Text!$K$362</c:f>
              <c:numCache>
                <c:formatCode>0.00</c:formatCode>
                <c:ptCount val="1"/>
                <c:pt idx="0">
                  <c:v>0</c:v>
                </c:pt>
              </c:numCache>
            </c:numRef>
          </c:val>
          <c:extLst>
            <c:ext xmlns:c15="http://schemas.microsoft.com/office/drawing/2012/chart" uri="{02D57815-91ED-43cb-92C2-25804820EDAC}">
              <c15:categoryFilterExceptions>
                <c15:categoryFilterException>
                  <c15:sqref>Text!$N$362</c15:sqref>
                  <c15:spPr xmlns:c15="http://schemas.microsoft.com/office/drawing/2012/chart">
                    <a:solidFill>
                      <a:srgbClr val="D1E3B0"/>
                    </a:solidFill>
                    <a:ln>
                      <a:solidFill>
                        <a:srgbClr val="76B729"/>
                      </a:solidFill>
                    </a:ln>
                    <a:effectLst/>
                  </c15:spPr>
                  <c15:invertIfNegative val="0"/>
                  <c15:bubble3D val="0"/>
                </c15:categoryFilterException>
              </c15:categoryFilterExceptions>
            </c:ext>
            <c:ext xmlns:c16="http://schemas.microsoft.com/office/drawing/2014/chart" uri="{C3380CC4-5D6E-409C-BE32-E72D297353CC}">
              <c16:uniqueId val="{00000000-77C5-41A2-B710-AB362A07F381}"/>
            </c:ext>
          </c:extLst>
        </c:ser>
        <c:ser>
          <c:idx val="1"/>
          <c:order val="1"/>
          <c:spPr>
            <a:no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Text!$K$363:$N$363</c15:sqref>
                  </c15:fullRef>
                </c:ext>
              </c:extLst>
              <c:f>Text!$K$363</c:f>
              <c:numCache>
                <c:formatCode>0.00</c:formatCode>
                <c:ptCount val="1"/>
                <c:pt idx="0">
                  <c:v>0</c:v>
                </c:pt>
              </c:numCache>
            </c:numRef>
          </c:val>
          <c:extLst>
            <c:ext xmlns:c16="http://schemas.microsoft.com/office/drawing/2014/chart" uri="{C3380CC4-5D6E-409C-BE32-E72D297353CC}">
              <c16:uniqueId val="{00000001-77C5-41A2-B710-AB362A07F381}"/>
            </c:ext>
          </c:extLst>
        </c:ser>
        <c:ser>
          <c:idx val="2"/>
          <c:order val="2"/>
          <c:spPr>
            <a:no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Text!$K$364:$N$364</c15:sqref>
                  </c15:fullRef>
                </c:ext>
              </c:extLst>
              <c:f>Text!$K$364</c:f>
              <c:numCache>
                <c:formatCode>0.00</c:formatCode>
                <c:ptCount val="1"/>
                <c:pt idx="0">
                  <c:v>0</c:v>
                </c:pt>
              </c:numCache>
            </c:numRef>
          </c:val>
          <c:extLst>
            <c:ext xmlns:c16="http://schemas.microsoft.com/office/drawing/2014/chart" uri="{C3380CC4-5D6E-409C-BE32-E72D297353CC}">
              <c16:uniqueId val="{00000002-77C5-41A2-B710-AB362A07F381}"/>
            </c:ext>
          </c:extLst>
        </c:ser>
        <c:ser>
          <c:idx val="3"/>
          <c:order val="3"/>
          <c:spPr>
            <a:no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Text!$K$365:$N$365</c15:sqref>
                  </c15:fullRef>
                </c:ext>
              </c:extLst>
              <c:f>Text!$K$365</c:f>
              <c:numCache>
                <c:formatCode>0.00</c:formatCode>
                <c:ptCount val="1"/>
                <c:pt idx="0">
                  <c:v>0</c:v>
                </c:pt>
              </c:numCache>
            </c:numRef>
          </c:val>
          <c:extLst>
            <c:ext xmlns:c16="http://schemas.microsoft.com/office/drawing/2014/chart" uri="{C3380CC4-5D6E-409C-BE32-E72D297353CC}">
              <c16:uniqueId val="{00000003-77C5-41A2-B710-AB362A07F381}"/>
            </c:ext>
          </c:extLst>
        </c:ser>
        <c:ser>
          <c:idx val="4"/>
          <c:order val="4"/>
          <c:spPr>
            <a:solidFill>
              <a:schemeClr val="bg1"/>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Text!$K$366:$N$366</c15:sqref>
                  </c15:fullRef>
                </c:ext>
              </c:extLst>
              <c:f>Text!$K$366</c:f>
              <c:numCache>
                <c:formatCode>0.00</c:formatCode>
                <c:ptCount val="1"/>
                <c:pt idx="0">
                  <c:v>0.5</c:v>
                </c:pt>
              </c:numCache>
            </c:numRef>
          </c:val>
          <c:extLst>
            <c:ext xmlns:c16="http://schemas.microsoft.com/office/drawing/2014/chart" uri="{C3380CC4-5D6E-409C-BE32-E72D297353CC}">
              <c16:uniqueId val="{00000004-77C5-41A2-B710-AB362A07F381}"/>
            </c:ext>
          </c:extLst>
        </c:ser>
        <c:ser>
          <c:idx val="5"/>
          <c:order val="5"/>
          <c:spPr>
            <a:solidFill>
              <a:schemeClr val="bg1"/>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Text!$K$367:$N$367</c15:sqref>
                  </c15:fullRef>
                </c:ext>
              </c:extLst>
              <c:f>Text!$K$367</c:f>
              <c:numCache>
                <c:formatCode>0.00</c:formatCode>
                <c:ptCount val="1"/>
                <c:pt idx="0">
                  <c:v>0.15</c:v>
                </c:pt>
              </c:numCache>
            </c:numRef>
          </c:val>
          <c:extLst>
            <c:ext xmlns:c16="http://schemas.microsoft.com/office/drawing/2014/chart" uri="{C3380CC4-5D6E-409C-BE32-E72D297353CC}">
              <c16:uniqueId val="{00000005-77C5-41A2-B710-AB362A07F381}"/>
            </c:ext>
          </c:extLst>
        </c:ser>
        <c:ser>
          <c:idx val="6"/>
          <c:order val="6"/>
          <c:spPr>
            <a:solidFill>
              <a:schemeClr val="bg1"/>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Text!$K$368:$N$368</c15:sqref>
                  </c15:fullRef>
                </c:ext>
              </c:extLst>
              <c:f>Text!$K$368</c:f>
              <c:numCache>
                <c:formatCode>0.00</c:formatCode>
                <c:ptCount val="1"/>
                <c:pt idx="0">
                  <c:v>0.2</c:v>
                </c:pt>
              </c:numCache>
            </c:numRef>
          </c:val>
          <c:extLst>
            <c:ext xmlns:c16="http://schemas.microsoft.com/office/drawing/2014/chart" uri="{C3380CC4-5D6E-409C-BE32-E72D297353CC}">
              <c16:uniqueId val="{00000006-77C5-41A2-B710-AB362A07F381}"/>
            </c:ext>
          </c:extLst>
        </c:ser>
        <c:ser>
          <c:idx val="7"/>
          <c:order val="7"/>
          <c:spPr>
            <a:solidFill>
              <a:schemeClr val="bg1"/>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Text!$K$369:$N$369</c15:sqref>
                  </c15:fullRef>
                </c:ext>
              </c:extLst>
              <c:f>Text!$K$369</c:f>
              <c:numCache>
                <c:formatCode>0.00</c:formatCode>
                <c:ptCount val="1"/>
                <c:pt idx="0">
                  <c:v>0.15</c:v>
                </c:pt>
              </c:numCache>
            </c:numRef>
          </c:val>
          <c:extLst>
            <c:ext xmlns:c16="http://schemas.microsoft.com/office/drawing/2014/chart" uri="{C3380CC4-5D6E-409C-BE32-E72D297353CC}">
              <c16:uniqueId val="{00000007-77C5-41A2-B710-AB362A07F38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solidFill>
          <a:srgbClr val="D1E3B0"/>
        </a:solidFill>
        <a:ln>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a:noFill/>
            </a:ln>
            <a:effectLst/>
          </c:spPr>
          <c:dLbls>
            <c:delete val="1"/>
          </c:dLbls>
          <c:cat>
            <c:strRef>
              <c:f>Text!$R$394</c:f>
              <c:strCache>
                <c:ptCount val="1"/>
                <c:pt idx="0">
                  <c:v>100 %                </c:v>
                </c:pt>
              </c:strCache>
            </c:strRef>
          </c:cat>
          <c:val>
            <c:numRef>
              <c:f>(Text!$S$394:$S$397,Text!$S$398:$S$399,Text!$S$400:$S$403)</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FB8-448B-A718-18B15AAE99D2}"/>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80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a:stretch>
    </a:blipFill>
    <a:ln w="9525" cap="flat" cmpd="sng" algn="ctr">
      <a:noFill/>
      <a:round/>
    </a:ln>
    <a:effectLst/>
  </c:spPr>
  <c:txPr>
    <a:bodyPr/>
    <a:lstStyle/>
    <a:p>
      <a:pPr>
        <a:defRPr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Text!$Z$339</c:f>
              <c:numCache>
                <c:formatCode>0.00</c:formatCode>
                <c:ptCount val="1"/>
                <c:pt idx="0">
                  <c:v>0</c:v>
                </c:pt>
              </c:numCache>
            </c:numRef>
          </c:val>
          <c:extLst>
            <c:ext xmlns:c16="http://schemas.microsoft.com/office/drawing/2014/chart" uri="{C3380CC4-5D6E-409C-BE32-E72D297353CC}">
              <c16:uniqueId val="{00000000-9855-40C1-809C-F1DF0751320A}"/>
            </c:ext>
          </c:extLst>
        </c:ser>
        <c:ser>
          <c:idx val="1"/>
          <c:order val="1"/>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Text!$Z$340</c:f>
              <c:numCache>
                <c:formatCode>0.00</c:formatCode>
                <c:ptCount val="1"/>
                <c:pt idx="0">
                  <c:v>0</c:v>
                </c:pt>
              </c:numCache>
            </c:numRef>
          </c:val>
          <c:extLst>
            <c:ext xmlns:c16="http://schemas.microsoft.com/office/drawing/2014/chart" uri="{C3380CC4-5D6E-409C-BE32-E72D297353CC}">
              <c16:uniqueId val="{00000001-9855-40C1-809C-F1DF0751320A}"/>
            </c:ext>
          </c:extLst>
        </c:ser>
        <c:ser>
          <c:idx val="2"/>
          <c:order val="2"/>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Text!$Z$341</c:f>
              <c:numCache>
                <c:formatCode>0.00</c:formatCode>
                <c:ptCount val="1"/>
                <c:pt idx="0">
                  <c:v>0</c:v>
                </c:pt>
              </c:numCache>
            </c:numRef>
          </c:val>
          <c:extLst>
            <c:ext xmlns:c16="http://schemas.microsoft.com/office/drawing/2014/chart" uri="{C3380CC4-5D6E-409C-BE32-E72D297353CC}">
              <c16:uniqueId val="{00000002-9855-40C1-809C-F1DF0751320A}"/>
            </c:ext>
          </c:extLst>
        </c:ser>
        <c:ser>
          <c:idx val="3"/>
          <c:order val="3"/>
          <c:spPr>
            <a:solidFill>
              <a:srgbClr val="F9DBD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Text!$Z$342</c:f>
              <c:numCache>
                <c:formatCode>0.00</c:formatCode>
                <c:ptCount val="1"/>
                <c:pt idx="0">
                  <c:v>0</c:v>
                </c:pt>
              </c:numCache>
            </c:numRef>
          </c:val>
          <c:extLst>
            <c:ext xmlns:c16="http://schemas.microsoft.com/office/drawing/2014/chart" uri="{C3380CC4-5D6E-409C-BE32-E72D297353CC}">
              <c16:uniqueId val="{00000003-9855-40C1-809C-F1DF0751320A}"/>
            </c:ext>
          </c:extLst>
        </c:ser>
        <c:ser>
          <c:idx val="4"/>
          <c:order val="4"/>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Text!$Z$343</c:f>
              <c:numCache>
                <c:formatCode>0.00</c:formatCode>
                <c:ptCount val="1"/>
                <c:pt idx="0">
                  <c:v>0.5</c:v>
                </c:pt>
              </c:numCache>
            </c:numRef>
          </c:val>
          <c:extLst>
            <c:ext xmlns:c16="http://schemas.microsoft.com/office/drawing/2014/chart" uri="{C3380CC4-5D6E-409C-BE32-E72D297353CC}">
              <c16:uniqueId val="{00000004-9855-40C1-809C-F1DF0751320A}"/>
            </c:ext>
          </c:extLst>
        </c:ser>
        <c:ser>
          <c:idx val="5"/>
          <c:order val="5"/>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Text!$Z$344</c:f>
              <c:numCache>
                <c:formatCode>0.00</c:formatCode>
                <c:ptCount val="1"/>
                <c:pt idx="0">
                  <c:v>0.15</c:v>
                </c:pt>
              </c:numCache>
            </c:numRef>
          </c:val>
          <c:extLst>
            <c:ext xmlns:c16="http://schemas.microsoft.com/office/drawing/2014/chart" uri="{C3380CC4-5D6E-409C-BE32-E72D297353CC}">
              <c16:uniqueId val="{00000005-9855-40C1-809C-F1DF0751320A}"/>
            </c:ext>
          </c:extLst>
        </c:ser>
        <c:ser>
          <c:idx val="6"/>
          <c:order val="6"/>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Text!$Z$345</c:f>
              <c:numCache>
                <c:formatCode>0.00</c:formatCode>
                <c:ptCount val="1"/>
                <c:pt idx="0">
                  <c:v>0.2</c:v>
                </c:pt>
              </c:numCache>
            </c:numRef>
          </c:val>
          <c:extLst>
            <c:ext xmlns:c16="http://schemas.microsoft.com/office/drawing/2014/chart" uri="{C3380CC4-5D6E-409C-BE32-E72D297353CC}">
              <c16:uniqueId val="{00000006-9855-40C1-809C-F1DF0751320A}"/>
            </c:ext>
          </c:extLst>
        </c:ser>
        <c:ser>
          <c:idx val="7"/>
          <c:order val="7"/>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Text!$Z$346</c:f>
              <c:numCache>
                <c:formatCode>0.00</c:formatCode>
                <c:ptCount val="1"/>
                <c:pt idx="0">
                  <c:v>0.15</c:v>
                </c:pt>
              </c:numCache>
            </c:numRef>
          </c:val>
          <c:extLst>
            <c:ext xmlns:c16="http://schemas.microsoft.com/office/drawing/2014/chart" uri="{C3380CC4-5D6E-409C-BE32-E72D297353CC}">
              <c16:uniqueId val="{00000007-9855-40C1-809C-F1DF0751320A}"/>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solidFill>
      <a:sysClr val="window" lastClr="FFFFFF"/>
    </a:solid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Text!$X$339:$Y$339</c:f>
              <c:numCache>
                <c:formatCode>0.00</c:formatCode>
                <c:ptCount val="2"/>
                <c:pt idx="0">
                  <c:v>0</c:v>
                </c:pt>
                <c:pt idx="1">
                  <c:v>0</c:v>
                </c:pt>
              </c:numCache>
            </c:numRef>
          </c:val>
          <c:extLst>
            <c:ext xmlns:c16="http://schemas.microsoft.com/office/drawing/2014/chart" uri="{C3380CC4-5D6E-409C-BE32-E72D297353CC}">
              <c16:uniqueId val="{00000000-B7A6-4569-8D78-37FE16547339}"/>
            </c:ext>
          </c:extLst>
        </c:ser>
        <c:ser>
          <c:idx val="1"/>
          <c:order val="1"/>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Text!$X$340:$Y$340</c:f>
              <c:numCache>
                <c:formatCode>0.00</c:formatCode>
                <c:ptCount val="2"/>
                <c:pt idx="0">
                  <c:v>0</c:v>
                </c:pt>
                <c:pt idx="1">
                  <c:v>0</c:v>
                </c:pt>
              </c:numCache>
            </c:numRef>
          </c:val>
          <c:extLst>
            <c:ext xmlns:c16="http://schemas.microsoft.com/office/drawing/2014/chart" uri="{C3380CC4-5D6E-409C-BE32-E72D297353CC}">
              <c16:uniqueId val="{00000001-B7A6-4569-8D78-37FE16547339}"/>
            </c:ext>
          </c:extLst>
        </c:ser>
        <c:ser>
          <c:idx val="2"/>
          <c:order val="2"/>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Text!$X$341:$Y$341</c:f>
              <c:numCache>
                <c:formatCode>0.00</c:formatCode>
                <c:ptCount val="2"/>
                <c:pt idx="0">
                  <c:v>0</c:v>
                </c:pt>
                <c:pt idx="1">
                  <c:v>0</c:v>
                </c:pt>
              </c:numCache>
            </c:numRef>
          </c:val>
          <c:extLst>
            <c:ext xmlns:c16="http://schemas.microsoft.com/office/drawing/2014/chart" uri="{C3380CC4-5D6E-409C-BE32-E72D297353CC}">
              <c16:uniqueId val="{00000002-B7A6-4569-8D78-37FE16547339}"/>
            </c:ext>
          </c:extLst>
        </c:ser>
        <c:ser>
          <c:idx val="3"/>
          <c:order val="3"/>
          <c:spPr>
            <a:solidFill>
              <a:srgbClr val="F9DBD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Text!$X$342:$Y$342</c:f>
              <c:numCache>
                <c:formatCode>0.00</c:formatCode>
                <c:ptCount val="2"/>
                <c:pt idx="0">
                  <c:v>0</c:v>
                </c:pt>
                <c:pt idx="1">
                  <c:v>0</c:v>
                </c:pt>
              </c:numCache>
            </c:numRef>
          </c:val>
          <c:extLst>
            <c:ext xmlns:c16="http://schemas.microsoft.com/office/drawing/2014/chart" uri="{C3380CC4-5D6E-409C-BE32-E72D297353CC}">
              <c16:uniqueId val="{00000003-B7A6-4569-8D78-37FE16547339}"/>
            </c:ext>
          </c:extLst>
        </c:ser>
        <c:ser>
          <c:idx val="4"/>
          <c:order val="4"/>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Text!$X$343:$Y$343</c:f>
              <c:numCache>
                <c:formatCode>0.00</c:formatCode>
                <c:ptCount val="2"/>
                <c:pt idx="0">
                  <c:v>0.5</c:v>
                </c:pt>
                <c:pt idx="1">
                  <c:v>0.5</c:v>
                </c:pt>
              </c:numCache>
            </c:numRef>
          </c:val>
          <c:extLst>
            <c:ext xmlns:c16="http://schemas.microsoft.com/office/drawing/2014/chart" uri="{C3380CC4-5D6E-409C-BE32-E72D297353CC}">
              <c16:uniqueId val="{00000004-B7A6-4569-8D78-37FE16547339}"/>
            </c:ext>
          </c:extLst>
        </c:ser>
        <c:ser>
          <c:idx val="5"/>
          <c:order val="5"/>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Text!$X$344:$Y$344</c:f>
              <c:numCache>
                <c:formatCode>0.00</c:formatCode>
                <c:ptCount val="2"/>
                <c:pt idx="0">
                  <c:v>0.15</c:v>
                </c:pt>
                <c:pt idx="1">
                  <c:v>0.15</c:v>
                </c:pt>
              </c:numCache>
            </c:numRef>
          </c:val>
          <c:extLst>
            <c:ext xmlns:c16="http://schemas.microsoft.com/office/drawing/2014/chart" uri="{C3380CC4-5D6E-409C-BE32-E72D297353CC}">
              <c16:uniqueId val="{00000005-B7A6-4569-8D78-37FE16547339}"/>
            </c:ext>
          </c:extLst>
        </c:ser>
        <c:ser>
          <c:idx val="6"/>
          <c:order val="6"/>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Text!$X$345:$Y$345</c:f>
              <c:numCache>
                <c:formatCode>0.00</c:formatCode>
                <c:ptCount val="2"/>
                <c:pt idx="0">
                  <c:v>0.2</c:v>
                </c:pt>
                <c:pt idx="1">
                  <c:v>0.2</c:v>
                </c:pt>
              </c:numCache>
            </c:numRef>
          </c:val>
          <c:extLst>
            <c:ext xmlns:c16="http://schemas.microsoft.com/office/drawing/2014/chart" uri="{C3380CC4-5D6E-409C-BE32-E72D297353CC}">
              <c16:uniqueId val="{00000006-B7A6-4569-8D78-37FE16547339}"/>
            </c:ext>
          </c:extLst>
        </c:ser>
        <c:ser>
          <c:idx val="7"/>
          <c:order val="7"/>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Text!$X$346:$Y$346</c:f>
              <c:numCache>
                <c:formatCode>0.00</c:formatCode>
                <c:ptCount val="2"/>
                <c:pt idx="0">
                  <c:v>0.15</c:v>
                </c:pt>
                <c:pt idx="1">
                  <c:v>0.15</c:v>
                </c:pt>
              </c:numCache>
            </c:numRef>
          </c:val>
          <c:extLst>
            <c:ext xmlns:c16="http://schemas.microsoft.com/office/drawing/2014/chart" uri="{C3380CC4-5D6E-409C-BE32-E72D297353CC}">
              <c16:uniqueId val="{00000007-B7A6-4569-8D78-37FE1654733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Text!$W$384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D1D1"/>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0-54D8-4121-9EB8-382EF5E4A8D1}"/>
            </c:ext>
          </c:extLst>
        </c:ser>
        <c:ser>
          <c:idx val="1"/>
          <c:order val="1"/>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Text!$W$385</c:f>
              <c:numCache>
                <c:formatCode>General</c:formatCode>
                <c:ptCount val="1"/>
                <c:pt idx="0">
                  <c:v>0</c:v>
                </c:pt>
              </c:numCache>
            </c:numRef>
          </c:val>
          <c:extLst>
            <c:ext xmlns:c16="http://schemas.microsoft.com/office/drawing/2014/chart" uri="{C3380CC4-5D6E-409C-BE32-E72D297353CC}">
              <c16:uniqueId val="{00000001-54D8-4121-9EB8-382EF5E4A8D1}"/>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Text!$W$386</c:f>
              <c:numCache>
                <c:formatCode>General</c:formatCode>
                <c:ptCount val="1"/>
                <c:pt idx="0">
                  <c:v>0</c:v>
                </c:pt>
              </c:numCache>
            </c:numRef>
          </c:val>
          <c:extLst>
            <c:ext xmlns:c16="http://schemas.microsoft.com/office/drawing/2014/chart" uri="{C3380CC4-5D6E-409C-BE32-E72D297353CC}">
              <c16:uniqueId val="{00000002-54D8-4121-9EB8-382EF5E4A8D1}"/>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Text!$W$387</c:f>
              <c:numCache>
                <c:formatCode>General</c:formatCode>
                <c:ptCount val="1"/>
                <c:pt idx="0">
                  <c:v>0</c:v>
                </c:pt>
              </c:numCache>
            </c:numRef>
          </c:val>
          <c:extLst>
            <c:ext xmlns:c16="http://schemas.microsoft.com/office/drawing/2014/chart" uri="{C3380CC4-5D6E-409C-BE32-E72D297353CC}">
              <c16:uniqueId val="{00000003-54D8-4121-9EB8-382EF5E4A8D1}"/>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Text!$W$388</c:f>
              <c:numCache>
                <c:formatCode>General</c:formatCode>
                <c:ptCount val="1"/>
                <c:pt idx="0">
                  <c:v>0.5</c:v>
                </c:pt>
              </c:numCache>
            </c:numRef>
          </c:val>
          <c:extLst>
            <c:ext xmlns:c16="http://schemas.microsoft.com/office/drawing/2014/chart" uri="{C3380CC4-5D6E-409C-BE32-E72D297353CC}">
              <c16:uniqueId val="{00000004-54D8-4121-9EB8-382EF5E4A8D1}"/>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Text!$W$389</c:f>
              <c:numCache>
                <c:formatCode>General</c:formatCode>
                <c:ptCount val="1"/>
                <c:pt idx="0">
                  <c:v>0.15</c:v>
                </c:pt>
              </c:numCache>
            </c:numRef>
          </c:val>
          <c:extLst>
            <c:ext xmlns:c16="http://schemas.microsoft.com/office/drawing/2014/chart" uri="{C3380CC4-5D6E-409C-BE32-E72D297353CC}">
              <c16:uniqueId val="{00000005-54D8-4121-9EB8-382EF5E4A8D1}"/>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Text!$W$390</c:f>
              <c:numCache>
                <c:formatCode>General</c:formatCode>
                <c:ptCount val="1"/>
                <c:pt idx="0">
                  <c:v>0.2</c:v>
                </c:pt>
              </c:numCache>
            </c:numRef>
          </c:val>
          <c:extLst>
            <c:ext xmlns:c16="http://schemas.microsoft.com/office/drawing/2014/chart" uri="{C3380CC4-5D6E-409C-BE32-E72D297353CC}">
              <c16:uniqueId val="{00000006-54D8-4121-9EB8-382EF5E4A8D1}"/>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Text!$W$391</c:f>
              <c:numCache>
                <c:formatCode>General</c:formatCode>
                <c:ptCount val="1"/>
                <c:pt idx="0">
                  <c:v>0.15</c:v>
                </c:pt>
              </c:numCache>
            </c:numRef>
          </c:val>
          <c:extLst>
            <c:ext xmlns:c16="http://schemas.microsoft.com/office/drawing/2014/chart" uri="{C3380CC4-5D6E-409C-BE32-E72D297353CC}">
              <c16:uniqueId val="{00000007-54D8-4121-9EB8-382EF5E4A8D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1-AC7B-4CDB-9088-78C4C1CBDFA5}"/>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Text!$X$384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CCE9F4"/>
                    </a:solidFill>
                    <a:ln>
                      <a:solidFill>
                        <a:srgbClr val="5DC4E1"/>
                      </a:solidFill>
                    </a:ln>
                    <a:effectLst/>
                  </c15:spPr>
                  <c15:invertIfNegative val="0"/>
                  <c15:bubble3D val="0"/>
                </c15:categoryFilterException>
              </c15:categoryFilterExceptions>
            </c:ext>
            <c:ext xmlns:c16="http://schemas.microsoft.com/office/drawing/2014/chart" uri="{C3380CC4-5D6E-409C-BE32-E72D297353CC}">
              <c16:uniqueId val="{00000002-AC7B-4CDB-9088-78C4C1CBDFA5}"/>
            </c:ext>
          </c:extLst>
        </c:ser>
        <c:ser>
          <c:idx val="1"/>
          <c:order val="1"/>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4-AC7B-4CDB-9088-78C4C1CBDFA5}"/>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Text!$X$385</c:f>
              <c:numCache>
                <c:formatCode>General</c:formatCode>
                <c:ptCount val="1"/>
                <c:pt idx="0">
                  <c:v>0</c:v>
                </c:pt>
              </c:numCache>
            </c:numRef>
          </c:val>
          <c:extLst>
            <c:ext xmlns:c16="http://schemas.microsoft.com/office/drawing/2014/chart" uri="{C3380CC4-5D6E-409C-BE32-E72D297353CC}">
              <c16:uniqueId val="{00000005-AC7B-4CDB-9088-78C4C1CBDFA5}"/>
            </c:ext>
          </c:extLst>
        </c:ser>
        <c:ser>
          <c:idx val="2"/>
          <c:order val="2"/>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Text!$X$386</c:f>
              <c:numCache>
                <c:formatCode>General</c:formatCode>
                <c:ptCount val="1"/>
                <c:pt idx="0">
                  <c:v>0</c:v>
                </c:pt>
              </c:numCache>
            </c:numRef>
          </c:val>
          <c:extLst>
            <c:ext xmlns:c16="http://schemas.microsoft.com/office/drawing/2014/chart" uri="{C3380CC4-5D6E-409C-BE32-E72D297353CC}">
              <c16:uniqueId val="{00000006-AC7B-4CDB-9088-78C4C1CBDFA5}"/>
            </c:ext>
          </c:extLst>
        </c:ser>
        <c:ser>
          <c:idx val="3"/>
          <c:order val="3"/>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Text!$X$387</c:f>
              <c:numCache>
                <c:formatCode>General</c:formatCode>
                <c:ptCount val="1"/>
                <c:pt idx="0">
                  <c:v>0</c:v>
                </c:pt>
              </c:numCache>
            </c:numRef>
          </c:val>
          <c:extLst>
            <c:ext xmlns:c16="http://schemas.microsoft.com/office/drawing/2014/chart" uri="{C3380CC4-5D6E-409C-BE32-E72D297353CC}">
              <c16:uniqueId val="{00000007-AC7B-4CDB-9088-78C4C1CBDFA5}"/>
            </c:ext>
          </c:extLst>
        </c:ser>
        <c:ser>
          <c:idx val="4"/>
          <c:order val="4"/>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Text!$X$388</c:f>
              <c:numCache>
                <c:formatCode>General</c:formatCode>
                <c:ptCount val="1"/>
                <c:pt idx="0">
                  <c:v>0.5</c:v>
                </c:pt>
              </c:numCache>
            </c:numRef>
          </c:val>
          <c:extLst>
            <c:ext xmlns:c16="http://schemas.microsoft.com/office/drawing/2014/chart" uri="{C3380CC4-5D6E-409C-BE32-E72D297353CC}">
              <c16:uniqueId val="{00000008-AC7B-4CDB-9088-78C4C1CBDFA5}"/>
            </c:ext>
          </c:extLst>
        </c:ser>
        <c:ser>
          <c:idx val="5"/>
          <c:order val="5"/>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Text!$X$389</c:f>
              <c:numCache>
                <c:formatCode>General</c:formatCode>
                <c:ptCount val="1"/>
                <c:pt idx="0">
                  <c:v>0.15</c:v>
                </c:pt>
              </c:numCache>
            </c:numRef>
          </c:val>
          <c:extLst>
            <c:ext xmlns:c16="http://schemas.microsoft.com/office/drawing/2014/chart" uri="{C3380CC4-5D6E-409C-BE32-E72D297353CC}">
              <c16:uniqueId val="{00000009-AC7B-4CDB-9088-78C4C1CBDFA5}"/>
            </c:ext>
          </c:extLst>
        </c:ser>
        <c:ser>
          <c:idx val="6"/>
          <c:order val="6"/>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Text!$X$390</c:f>
              <c:numCache>
                <c:formatCode>General</c:formatCode>
                <c:ptCount val="1"/>
                <c:pt idx="0">
                  <c:v>0.2</c:v>
                </c:pt>
              </c:numCache>
            </c:numRef>
          </c:val>
          <c:extLst>
            <c:ext xmlns:c16="http://schemas.microsoft.com/office/drawing/2014/chart" uri="{C3380CC4-5D6E-409C-BE32-E72D297353CC}">
              <c16:uniqueId val="{0000000A-AC7B-4CDB-9088-78C4C1CBDFA5}"/>
            </c:ext>
          </c:extLst>
        </c:ser>
        <c:ser>
          <c:idx val="7"/>
          <c:order val="7"/>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Text!$X$391</c:f>
              <c:numCache>
                <c:formatCode>General</c:formatCode>
                <c:ptCount val="1"/>
                <c:pt idx="0">
                  <c:v>0.15</c:v>
                </c:pt>
              </c:numCache>
            </c:numRef>
          </c:val>
          <c:extLst>
            <c:ext xmlns:c16="http://schemas.microsoft.com/office/drawing/2014/chart" uri="{C3380CC4-5D6E-409C-BE32-E72D297353CC}">
              <c16:uniqueId val="{0000000B-AC7B-4CDB-9088-78C4C1CBDFA5}"/>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CCE9F4"/>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Text!$W$350:$Y$350</c15:sqref>
                  </c15:fullRef>
                </c:ext>
              </c:extLst>
              <c:f>Text!$X$350:$Y$350</c:f>
              <c:numCache>
                <c:formatCode>0.00</c:formatCode>
                <c:ptCount val="2"/>
                <c:pt idx="0">
                  <c:v>0</c:v>
                </c:pt>
                <c:pt idx="1">
                  <c:v>0</c:v>
                </c:pt>
              </c:numCache>
            </c:numRef>
          </c:val>
          <c:extLst>
            <c:ext xmlns:c16="http://schemas.microsoft.com/office/drawing/2014/chart" uri="{C3380CC4-5D6E-409C-BE32-E72D297353CC}">
              <c16:uniqueId val="{00000000-CD48-40F6-9F0A-662AA0E3A712}"/>
            </c:ext>
          </c:extLst>
        </c:ser>
        <c:ser>
          <c:idx val="1"/>
          <c:order val="1"/>
          <c:spPr>
            <a:solidFill>
              <a:srgbClr val="E6F4FA"/>
            </a:solidFill>
            <a:ln>
              <a:solidFill>
                <a:srgbClr val="5DC4E1"/>
              </a:solidFill>
            </a:ln>
            <a:effectLst/>
          </c:spPr>
          <c:invertIfNegative val="0"/>
          <c:dPt>
            <c:idx val="0"/>
            <c:invertIfNegative val="0"/>
            <c:bubble3D val="0"/>
            <c:spPr>
              <a:solidFill>
                <a:srgbClr val="CCE9F4"/>
              </a:solidFill>
              <a:ln>
                <a:solidFill>
                  <a:srgbClr val="5DC4E1"/>
                </a:solidFill>
              </a:ln>
              <a:effectLst/>
            </c:spPr>
            <c:extLst>
              <c:ext xmlns:c16="http://schemas.microsoft.com/office/drawing/2014/chart" uri="{C3380CC4-5D6E-409C-BE32-E72D297353CC}">
                <c16:uniqueId val="{00000002-CD48-40F6-9F0A-662AA0E3A712}"/>
              </c:ext>
            </c:extLst>
          </c:dPt>
          <c:dPt>
            <c:idx val="1"/>
            <c:invertIfNegative val="0"/>
            <c:bubble3D val="0"/>
            <c:spPr>
              <a:solidFill>
                <a:srgbClr val="CCE9F4"/>
              </a:solidFill>
              <a:ln>
                <a:solidFill>
                  <a:srgbClr val="5DC4E1"/>
                </a:solidFill>
              </a:ln>
              <a:effectLst/>
            </c:spPr>
            <c:extLst>
              <c:ext xmlns:c16="http://schemas.microsoft.com/office/drawing/2014/chart" uri="{C3380CC4-5D6E-409C-BE32-E72D297353CC}">
                <c16:uniqueId val="{00000004-CD48-40F6-9F0A-662AA0E3A712}"/>
              </c:ext>
            </c:extLst>
          </c:dPt>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Text!$W$351:$Y$351</c15:sqref>
                  </c15:fullRef>
                </c:ext>
              </c:extLst>
              <c:f>Text!$X$351:$Y$351</c:f>
              <c:numCache>
                <c:formatCode>0.00</c:formatCode>
                <c:ptCount val="2"/>
                <c:pt idx="0">
                  <c:v>0</c:v>
                </c:pt>
                <c:pt idx="1">
                  <c:v>0</c:v>
                </c:pt>
              </c:numCache>
            </c:numRef>
          </c:val>
          <c:extLst>
            <c:ext xmlns:c16="http://schemas.microsoft.com/office/drawing/2014/chart" uri="{C3380CC4-5D6E-409C-BE32-E72D297353CC}">
              <c16:uniqueId val="{00000005-CD48-40F6-9F0A-662AA0E3A712}"/>
            </c:ext>
          </c:extLst>
        </c:ser>
        <c:ser>
          <c:idx val="2"/>
          <c:order val="2"/>
          <c:spPr>
            <a:solidFill>
              <a:srgbClr val="E6F4FA"/>
            </a:solidFill>
            <a:ln>
              <a:solidFill>
                <a:srgbClr val="5DC4E1"/>
              </a:solidFill>
            </a:ln>
            <a:effectLst/>
          </c:spPr>
          <c:invertIfNegative val="0"/>
          <c:dPt>
            <c:idx val="0"/>
            <c:invertIfNegative val="0"/>
            <c:bubble3D val="0"/>
            <c:spPr>
              <a:solidFill>
                <a:srgbClr val="CCE9F4"/>
              </a:solidFill>
              <a:ln>
                <a:solidFill>
                  <a:srgbClr val="5DC4E1"/>
                </a:solidFill>
              </a:ln>
              <a:effectLst/>
            </c:spPr>
            <c:extLst>
              <c:ext xmlns:c16="http://schemas.microsoft.com/office/drawing/2014/chart" uri="{C3380CC4-5D6E-409C-BE32-E72D297353CC}">
                <c16:uniqueId val="{00000007-CD48-40F6-9F0A-662AA0E3A712}"/>
              </c:ext>
            </c:extLst>
          </c:dPt>
          <c:dPt>
            <c:idx val="1"/>
            <c:invertIfNegative val="0"/>
            <c:bubble3D val="0"/>
            <c:spPr>
              <a:solidFill>
                <a:srgbClr val="CCE9F4"/>
              </a:solidFill>
              <a:ln>
                <a:solidFill>
                  <a:srgbClr val="5DC4E1"/>
                </a:solidFill>
              </a:ln>
              <a:effectLst/>
            </c:spPr>
            <c:extLst>
              <c:ext xmlns:c16="http://schemas.microsoft.com/office/drawing/2014/chart" uri="{C3380CC4-5D6E-409C-BE32-E72D297353CC}">
                <c16:uniqueId val="{00000009-CD48-40F6-9F0A-662AA0E3A712}"/>
              </c:ext>
            </c:extLst>
          </c:dPt>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Text!$W$352:$Y$352</c15:sqref>
                  </c15:fullRef>
                </c:ext>
              </c:extLst>
              <c:f>Text!$X$352:$Y$352</c:f>
              <c:numCache>
                <c:formatCode>0.00</c:formatCode>
                <c:ptCount val="2"/>
                <c:pt idx="0">
                  <c:v>0</c:v>
                </c:pt>
                <c:pt idx="1">
                  <c:v>0</c:v>
                </c:pt>
              </c:numCache>
            </c:numRef>
          </c:val>
          <c:extLst>
            <c:ext xmlns:c16="http://schemas.microsoft.com/office/drawing/2014/chart" uri="{C3380CC4-5D6E-409C-BE32-E72D297353CC}">
              <c16:uniqueId val="{0000000A-CD48-40F6-9F0A-662AA0E3A712}"/>
            </c:ext>
          </c:extLst>
        </c:ser>
        <c:ser>
          <c:idx val="3"/>
          <c:order val="3"/>
          <c:spPr>
            <a:solidFill>
              <a:srgbClr val="CCE9F4"/>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Text!$W$353:$Y$353</c15:sqref>
                  </c15:fullRef>
                </c:ext>
              </c:extLst>
              <c:f>Text!$X$353:$Y$353</c:f>
              <c:numCache>
                <c:formatCode>0.00</c:formatCode>
                <c:ptCount val="2"/>
                <c:pt idx="0">
                  <c:v>0</c:v>
                </c:pt>
                <c:pt idx="1">
                  <c:v>0</c:v>
                </c:pt>
              </c:numCache>
            </c:numRef>
          </c:val>
          <c:extLst>
            <c:ext xmlns:c16="http://schemas.microsoft.com/office/drawing/2014/chart" uri="{C3380CC4-5D6E-409C-BE32-E72D297353CC}">
              <c16:uniqueId val="{0000000B-CD48-40F6-9F0A-662AA0E3A712}"/>
            </c:ext>
          </c:extLst>
        </c:ser>
        <c:ser>
          <c:idx val="4"/>
          <c:order val="4"/>
          <c:spPr>
            <a:solidFill>
              <a:sysClr val="window" lastClr="FFFFFF"/>
            </a:solidFill>
            <a:ln>
              <a:solidFill>
                <a:srgbClr val="5DC4E1"/>
              </a:solidFill>
            </a:ln>
            <a:effectLst/>
          </c:spPr>
          <c:invertIfNegative val="0"/>
          <c:dPt>
            <c:idx val="1"/>
            <c:invertIfNegative val="0"/>
            <c:bubble3D val="0"/>
            <c:spPr>
              <a:noFill/>
              <a:ln>
                <a:solidFill>
                  <a:srgbClr val="5DC4E1"/>
                </a:solidFill>
              </a:ln>
              <a:effectLst/>
            </c:spPr>
            <c:extLst>
              <c:ext xmlns:c16="http://schemas.microsoft.com/office/drawing/2014/chart" uri="{C3380CC4-5D6E-409C-BE32-E72D297353CC}">
                <c16:uniqueId val="{0000000D-CD48-40F6-9F0A-662AA0E3A712}"/>
              </c:ext>
            </c:extLst>
          </c:dPt>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Text!$W$355:$Y$355</c15:sqref>
                  </c15:fullRef>
                </c:ext>
              </c:extLst>
              <c:f>Text!$X$355:$Y$355</c:f>
              <c:numCache>
                <c:formatCode>0.00</c:formatCode>
                <c:ptCount val="2"/>
                <c:pt idx="0">
                  <c:v>0.5</c:v>
                </c:pt>
                <c:pt idx="1">
                  <c:v>0.5</c:v>
                </c:pt>
              </c:numCache>
            </c:numRef>
          </c:val>
          <c:extLst>
            <c:ext xmlns:c16="http://schemas.microsoft.com/office/drawing/2014/chart" uri="{C3380CC4-5D6E-409C-BE32-E72D297353CC}">
              <c16:uniqueId val="{0000000E-CD48-40F6-9F0A-662AA0E3A712}"/>
            </c:ext>
          </c:extLst>
        </c:ser>
        <c:ser>
          <c:idx val="5"/>
          <c:order val="5"/>
          <c:spPr>
            <a:solidFill>
              <a:sysClr val="window" lastClr="FFFFFF"/>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Text!$W$356:$Y$356</c15:sqref>
                  </c15:fullRef>
                </c:ext>
              </c:extLst>
              <c:f>Text!$X$356:$Y$356</c:f>
              <c:numCache>
                <c:formatCode>0.00</c:formatCode>
                <c:ptCount val="2"/>
                <c:pt idx="0">
                  <c:v>0.15</c:v>
                </c:pt>
                <c:pt idx="1">
                  <c:v>0.15</c:v>
                </c:pt>
              </c:numCache>
            </c:numRef>
          </c:val>
          <c:extLst>
            <c:ext xmlns:c16="http://schemas.microsoft.com/office/drawing/2014/chart" uri="{C3380CC4-5D6E-409C-BE32-E72D297353CC}">
              <c16:uniqueId val="{0000000F-CD48-40F6-9F0A-662AA0E3A712}"/>
            </c:ext>
          </c:extLst>
        </c:ser>
        <c:ser>
          <c:idx val="6"/>
          <c:order val="6"/>
          <c:spPr>
            <a:solidFill>
              <a:sysClr val="window" lastClr="FFFFFF"/>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Text!$W$357:$Y$357</c15:sqref>
                  </c15:fullRef>
                </c:ext>
              </c:extLst>
              <c:f>Text!$X$357:$Y$357</c:f>
              <c:numCache>
                <c:formatCode>0.00</c:formatCode>
                <c:ptCount val="2"/>
                <c:pt idx="0">
                  <c:v>0.2</c:v>
                </c:pt>
                <c:pt idx="1">
                  <c:v>0.2</c:v>
                </c:pt>
              </c:numCache>
            </c:numRef>
          </c:val>
          <c:extLst>
            <c:ext xmlns:c16="http://schemas.microsoft.com/office/drawing/2014/chart" uri="{C3380CC4-5D6E-409C-BE32-E72D297353CC}">
              <c16:uniqueId val="{00000010-CD48-40F6-9F0A-662AA0E3A712}"/>
            </c:ext>
          </c:extLst>
        </c:ser>
        <c:ser>
          <c:idx val="7"/>
          <c:order val="7"/>
          <c:spPr>
            <a:solidFill>
              <a:sysClr val="window" lastClr="FFFFFF"/>
            </a:solidFill>
            <a:ln>
              <a:solidFill>
                <a:srgbClr val="5DC4E1"/>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Text!$W$358:$Y$358</c15:sqref>
                  </c15:fullRef>
                </c:ext>
              </c:extLst>
              <c:f>Text!$X$358:$Y$358</c:f>
              <c:numCache>
                <c:formatCode>0.00</c:formatCode>
                <c:ptCount val="2"/>
                <c:pt idx="0">
                  <c:v>0.15</c:v>
                </c:pt>
                <c:pt idx="1">
                  <c:v>0.15</c:v>
                </c:pt>
              </c:numCache>
            </c:numRef>
          </c:val>
          <c:extLst>
            <c:ext xmlns:c16="http://schemas.microsoft.com/office/drawing/2014/chart" uri="{C3380CC4-5D6E-409C-BE32-E72D297353CC}">
              <c16:uniqueId val="{00000011-CD48-40F6-9F0A-662AA0E3A712}"/>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1-2C2F-4548-AD41-28E8BEB767F8}"/>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Text!$Y$384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C000">
                        <a:lumMod val="20000"/>
                        <a:lumOff val="80000"/>
                      </a:srgbClr>
                    </a:solidFill>
                    <a:ln>
                      <a:solidFill>
                        <a:srgbClr val="FFC000">
                          <a:lumMod val="75000"/>
                        </a:srgbClr>
                      </a:solidFill>
                    </a:ln>
                    <a:effectLst/>
                  </c15:spPr>
                  <c15:invertIfNegative val="0"/>
                  <c15:bubble3D val="0"/>
                </c15:categoryFilterException>
              </c15:categoryFilterExceptions>
            </c:ext>
            <c:ext xmlns:c16="http://schemas.microsoft.com/office/drawing/2014/chart" uri="{C3380CC4-5D6E-409C-BE32-E72D297353CC}">
              <c16:uniqueId val="{00000002-2C2F-4548-AD41-28E8BEB767F8}"/>
            </c:ext>
          </c:extLst>
        </c:ser>
        <c:ser>
          <c:idx val="1"/>
          <c:order val="1"/>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4-2C2F-4548-AD41-28E8BEB767F8}"/>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Text!$Y$385</c:f>
              <c:numCache>
                <c:formatCode>General</c:formatCode>
                <c:ptCount val="1"/>
                <c:pt idx="0">
                  <c:v>0</c:v>
                </c:pt>
              </c:numCache>
            </c:numRef>
          </c:val>
          <c:extLst>
            <c:ext xmlns:c16="http://schemas.microsoft.com/office/drawing/2014/chart" uri="{C3380CC4-5D6E-409C-BE32-E72D297353CC}">
              <c16:uniqueId val="{00000005-2C2F-4548-AD41-28E8BEB767F8}"/>
            </c:ext>
          </c:extLst>
        </c:ser>
        <c:ser>
          <c:idx val="2"/>
          <c:order val="2"/>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Text!$Y$386</c:f>
              <c:numCache>
                <c:formatCode>General</c:formatCode>
                <c:ptCount val="1"/>
                <c:pt idx="0">
                  <c:v>0</c:v>
                </c:pt>
              </c:numCache>
            </c:numRef>
          </c:val>
          <c:extLst>
            <c:ext xmlns:c16="http://schemas.microsoft.com/office/drawing/2014/chart" uri="{C3380CC4-5D6E-409C-BE32-E72D297353CC}">
              <c16:uniqueId val="{00000006-2C2F-4548-AD41-28E8BEB767F8}"/>
            </c:ext>
          </c:extLst>
        </c:ser>
        <c:ser>
          <c:idx val="3"/>
          <c:order val="3"/>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8-2C2F-4548-AD41-28E8BEB767F8}"/>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Text!$Y$387</c:f>
              <c:numCache>
                <c:formatCode>General</c:formatCode>
                <c:ptCount val="1"/>
                <c:pt idx="0">
                  <c:v>0</c:v>
                </c:pt>
              </c:numCache>
            </c:numRef>
          </c:val>
          <c:extLst>
            <c:ext xmlns:c16="http://schemas.microsoft.com/office/drawing/2014/chart" uri="{C3380CC4-5D6E-409C-BE32-E72D297353CC}">
              <c16:uniqueId val="{00000009-2C2F-4548-AD41-28E8BEB767F8}"/>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Text!$Y$388</c:f>
              <c:numCache>
                <c:formatCode>General</c:formatCode>
                <c:ptCount val="1"/>
                <c:pt idx="0">
                  <c:v>0.5</c:v>
                </c:pt>
              </c:numCache>
            </c:numRef>
          </c:val>
          <c:extLst>
            <c:ext xmlns:c16="http://schemas.microsoft.com/office/drawing/2014/chart" uri="{C3380CC4-5D6E-409C-BE32-E72D297353CC}">
              <c16:uniqueId val="{0000000A-2C2F-4548-AD41-28E8BEB767F8}"/>
            </c:ext>
          </c:extLst>
        </c:ser>
        <c:ser>
          <c:idx val="5"/>
          <c:order val="5"/>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Text!$Y$389</c:f>
              <c:numCache>
                <c:formatCode>General</c:formatCode>
                <c:ptCount val="1"/>
                <c:pt idx="0">
                  <c:v>0.15</c:v>
                </c:pt>
              </c:numCache>
            </c:numRef>
          </c:val>
          <c:extLst>
            <c:ext xmlns:c16="http://schemas.microsoft.com/office/drawing/2014/chart" uri="{C3380CC4-5D6E-409C-BE32-E72D297353CC}">
              <c16:uniqueId val="{0000000B-2C2F-4548-AD41-28E8BEB767F8}"/>
            </c:ext>
          </c:extLst>
        </c:ser>
        <c:ser>
          <c:idx val="6"/>
          <c:order val="6"/>
          <c:spPr>
            <a:solidFill>
              <a:sysClr val="window" lastClr="FFFFFF"/>
            </a:solidFill>
            <a:ln>
              <a:no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D-2C2F-4548-AD41-28E8BEB767F8}"/>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Text!$Y$390</c:f>
              <c:numCache>
                <c:formatCode>General</c:formatCode>
                <c:ptCount val="1"/>
                <c:pt idx="0">
                  <c:v>0.2</c:v>
                </c:pt>
              </c:numCache>
            </c:numRef>
          </c:val>
          <c:extLst>
            <c:ext xmlns:c16="http://schemas.microsoft.com/office/drawing/2014/chart" uri="{C3380CC4-5D6E-409C-BE32-E72D297353CC}">
              <c16:uniqueId val="{0000000E-2C2F-4548-AD41-28E8BEB767F8}"/>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Text!$Y$391</c:f>
              <c:numCache>
                <c:formatCode>General</c:formatCode>
                <c:ptCount val="1"/>
                <c:pt idx="0">
                  <c:v>0.15</c:v>
                </c:pt>
              </c:numCache>
            </c:numRef>
          </c:val>
          <c:extLst>
            <c:ext xmlns:c16="http://schemas.microsoft.com/office/drawing/2014/chart" uri="{C3380CC4-5D6E-409C-BE32-E72D297353CC}">
              <c16:uniqueId val="{0000000F-2C2F-4548-AD41-28E8BEB767F8}"/>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E8F1D9"/>
              </a:solidFill>
              <a:ln>
                <a:solidFill>
                  <a:srgbClr val="76B729"/>
                </a:solidFill>
              </a:ln>
              <a:effectLst/>
            </c:spPr>
            <c:extLst>
              <c:ext xmlns:c16="http://schemas.microsoft.com/office/drawing/2014/chart" uri="{C3380CC4-5D6E-409C-BE32-E72D297353CC}">
                <c16:uniqueId val="{00000001-7A14-479E-A9E7-C73E64D1782F}"/>
              </c:ext>
            </c:extLst>
          </c:dPt>
          <c:dPt>
            <c:idx val="1"/>
            <c:invertIfNegative val="0"/>
            <c:bubble3D val="0"/>
            <c:spPr>
              <a:solidFill>
                <a:srgbClr val="E8F1D9"/>
              </a:solidFill>
              <a:ln>
                <a:solidFill>
                  <a:srgbClr val="76B729"/>
                </a:solidFill>
              </a:ln>
              <a:effectLst/>
            </c:spPr>
            <c:extLst>
              <c:ext xmlns:c16="http://schemas.microsoft.com/office/drawing/2014/chart" uri="{C3380CC4-5D6E-409C-BE32-E72D297353CC}">
                <c16:uniqueId val="{00000003-7A14-479E-A9E7-C73E64D1782F}"/>
              </c:ext>
            </c:extLst>
          </c:dPt>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Text!$Y$362:$Z$362</c:f>
              <c:numCache>
                <c:formatCode>0.00</c:formatCode>
                <c:ptCount val="2"/>
                <c:pt idx="0">
                  <c:v>0</c:v>
                </c:pt>
                <c:pt idx="1">
                  <c:v>0</c:v>
                </c:pt>
              </c:numCache>
            </c:numRef>
          </c:val>
          <c:extLst>
            <c:ext xmlns:c16="http://schemas.microsoft.com/office/drawing/2014/chart" uri="{C3380CC4-5D6E-409C-BE32-E72D297353CC}">
              <c16:uniqueId val="{00000004-7A14-479E-A9E7-C73E64D1782F}"/>
            </c:ext>
          </c:extLst>
        </c:ser>
        <c:ser>
          <c:idx val="1"/>
          <c:order val="1"/>
          <c:spPr>
            <a:solidFill>
              <a:srgbClr val="E8F1D9"/>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Text!$Y$363:$Z$363</c:f>
              <c:numCache>
                <c:formatCode>0.00</c:formatCode>
                <c:ptCount val="2"/>
                <c:pt idx="0">
                  <c:v>0</c:v>
                </c:pt>
                <c:pt idx="1">
                  <c:v>0</c:v>
                </c:pt>
              </c:numCache>
            </c:numRef>
          </c:val>
          <c:extLst>
            <c:ext xmlns:c16="http://schemas.microsoft.com/office/drawing/2014/chart" uri="{C3380CC4-5D6E-409C-BE32-E72D297353CC}">
              <c16:uniqueId val="{00000005-7A14-479E-A9E7-C73E64D1782F}"/>
            </c:ext>
          </c:extLst>
        </c:ser>
        <c:ser>
          <c:idx val="2"/>
          <c:order val="2"/>
          <c:spPr>
            <a:solidFill>
              <a:srgbClr val="E8F1D9"/>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Text!$Y$364:$Z$364</c:f>
              <c:numCache>
                <c:formatCode>0.00</c:formatCode>
                <c:ptCount val="2"/>
                <c:pt idx="0">
                  <c:v>0</c:v>
                </c:pt>
                <c:pt idx="1">
                  <c:v>0</c:v>
                </c:pt>
              </c:numCache>
            </c:numRef>
          </c:val>
          <c:extLst>
            <c:ext xmlns:c16="http://schemas.microsoft.com/office/drawing/2014/chart" uri="{C3380CC4-5D6E-409C-BE32-E72D297353CC}">
              <c16:uniqueId val="{00000006-7A14-479E-A9E7-C73E64D1782F}"/>
            </c:ext>
          </c:extLst>
        </c:ser>
        <c:ser>
          <c:idx val="3"/>
          <c:order val="3"/>
          <c:spPr>
            <a:solidFill>
              <a:srgbClr val="E8F1D9"/>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Text!$Y$365:$Z$365</c:f>
              <c:numCache>
                <c:formatCode>0.00</c:formatCode>
                <c:ptCount val="2"/>
                <c:pt idx="0">
                  <c:v>0</c:v>
                </c:pt>
                <c:pt idx="1">
                  <c:v>0</c:v>
                </c:pt>
              </c:numCache>
            </c:numRef>
          </c:val>
          <c:extLst>
            <c:ext xmlns:c16="http://schemas.microsoft.com/office/drawing/2014/chart" uri="{C3380CC4-5D6E-409C-BE32-E72D297353CC}">
              <c16:uniqueId val="{00000007-7A14-479E-A9E7-C73E64D1782F}"/>
            </c:ext>
          </c:extLst>
        </c:ser>
        <c:ser>
          <c:idx val="4"/>
          <c:order val="4"/>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Text!$Y$366:$Z$366</c:f>
              <c:numCache>
                <c:formatCode>0.00</c:formatCode>
                <c:ptCount val="2"/>
                <c:pt idx="0">
                  <c:v>0.5</c:v>
                </c:pt>
                <c:pt idx="1">
                  <c:v>0.5</c:v>
                </c:pt>
              </c:numCache>
            </c:numRef>
          </c:val>
          <c:extLst>
            <c:ext xmlns:c16="http://schemas.microsoft.com/office/drawing/2014/chart" uri="{C3380CC4-5D6E-409C-BE32-E72D297353CC}">
              <c16:uniqueId val="{00000008-7A14-479E-A9E7-C73E64D1782F}"/>
            </c:ext>
          </c:extLst>
        </c:ser>
        <c:ser>
          <c:idx val="5"/>
          <c:order val="5"/>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Text!$Y$367:$Z$367</c:f>
              <c:numCache>
                <c:formatCode>0.00</c:formatCode>
                <c:ptCount val="2"/>
                <c:pt idx="0">
                  <c:v>0.15</c:v>
                </c:pt>
                <c:pt idx="1">
                  <c:v>0.15</c:v>
                </c:pt>
              </c:numCache>
            </c:numRef>
          </c:val>
          <c:extLst>
            <c:ext xmlns:c16="http://schemas.microsoft.com/office/drawing/2014/chart" uri="{C3380CC4-5D6E-409C-BE32-E72D297353CC}">
              <c16:uniqueId val="{00000009-7A14-479E-A9E7-C73E64D1782F}"/>
            </c:ext>
          </c:extLst>
        </c:ser>
        <c:ser>
          <c:idx val="6"/>
          <c:order val="6"/>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Text!$Y$368:$Z$368</c:f>
              <c:numCache>
                <c:formatCode>0.00</c:formatCode>
                <c:ptCount val="2"/>
                <c:pt idx="0">
                  <c:v>0.2</c:v>
                </c:pt>
                <c:pt idx="1">
                  <c:v>0.2</c:v>
                </c:pt>
              </c:numCache>
            </c:numRef>
          </c:val>
          <c:extLst>
            <c:ext xmlns:c16="http://schemas.microsoft.com/office/drawing/2014/chart" uri="{C3380CC4-5D6E-409C-BE32-E72D297353CC}">
              <c16:uniqueId val="{0000000A-7A14-479E-A9E7-C73E64D1782F}"/>
            </c:ext>
          </c:extLst>
        </c:ser>
        <c:ser>
          <c:idx val="7"/>
          <c:order val="7"/>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Text!$Y$369:$Z$369</c:f>
              <c:numCache>
                <c:formatCode>0.00</c:formatCode>
                <c:ptCount val="2"/>
                <c:pt idx="0">
                  <c:v>0.15</c:v>
                </c:pt>
                <c:pt idx="1">
                  <c:v>0.15</c:v>
                </c:pt>
              </c:numCache>
            </c:numRef>
          </c:val>
          <c:extLst>
            <c:ext xmlns:c16="http://schemas.microsoft.com/office/drawing/2014/chart" uri="{C3380CC4-5D6E-409C-BE32-E72D297353CC}">
              <c16:uniqueId val="{0000000B-7A14-479E-A9E7-C73E64D1782F}"/>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Text!$X$362</c:f>
              <c:numCache>
                <c:formatCode>0.00</c:formatCode>
                <c:ptCount val="1"/>
                <c:pt idx="0">
                  <c:v>0</c:v>
                </c:pt>
              </c:numCache>
            </c:numRef>
          </c:val>
          <c:extLst>
            <c:ext xmlns:c16="http://schemas.microsoft.com/office/drawing/2014/chart" uri="{C3380CC4-5D6E-409C-BE32-E72D297353CC}">
              <c16:uniqueId val="{00000000-CB61-4CED-927B-58B91855F0A7}"/>
            </c:ext>
          </c:extLst>
        </c:ser>
        <c:ser>
          <c:idx val="1"/>
          <c:order val="1"/>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Text!$X$363</c:f>
              <c:numCache>
                <c:formatCode>0.00</c:formatCode>
                <c:ptCount val="1"/>
                <c:pt idx="0">
                  <c:v>0</c:v>
                </c:pt>
              </c:numCache>
            </c:numRef>
          </c:val>
          <c:extLst>
            <c:ext xmlns:c16="http://schemas.microsoft.com/office/drawing/2014/chart" uri="{C3380CC4-5D6E-409C-BE32-E72D297353CC}">
              <c16:uniqueId val="{00000001-CB61-4CED-927B-58B91855F0A7}"/>
            </c:ext>
          </c:extLst>
        </c:ser>
        <c:ser>
          <c:idx val="2"/>
          <c:order val="2"/>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Text!$X$364</c:f>
              <c:numCache>
                <c:formatCode>0.00</c:formatCode>
                <c:ptCount val="1"/>
                <c:pt idx="0">
                  <c:v>0</c:v>
                </c:pt>
              </c:numCache>
            </c:numRef>
          </c:val>
          <c:extLst>
            <c:ext xmlns:c16="http://schemas.microsoft.com/office/drawing/2014/chart" uri="{C3380CC4-5D6E-409C-BE32-E72D297353CC}">
              <c16:uniqueId val="{00000002-CB61-4CED-927B-58B91855F0A7}"/>
            </c:ext>
          </c:extLst>
        </c:ser>
        <c:ser>
          <c:idx val="3"/>
          <c:order val="3"/>
          <c:spPr>
            <a:solidFill>
              <a:srgbClr val="E8F1D9"/>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Text!$X$365</c:f>
              <c:numCache>
                <c:formatCode>0.00</c:formatCode>
                <c:ptCount val="1"/>
                <c:pt idx="0">
                  <c:v>0</c:v>
                </c:pt>
              </c:numCache>
            </c:numRef>
          </c:val>
          <c:extLst>
            <c:ext xmlns:c16="http://schemas.microsoft.com/office/drawing/2014/chart" uri="{C3380CC4-5D6E-409C-BE32-E72D297353CC}">
              <c16:uniqueId val="{00000003-CB61-4CED-927B-58B91855F0A7}"/>
            </c:ext>
          </c:extLst>
        </c:ser>
        <c:ser>
          <c:idx val="4"/>
          <c:order val="4"/>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Text!$X$366</c:f>
              <c:numCache>
                <c:formatCode>0.00</c:formatCode>
                <c:ptCount val="1"/>
                <c:pt idx="0">
                  <c:v>0.5</c:v>
                </c:pt>
              </c:numCache>
            </c:numRef>
          </c:val>
          <c:extLst>
            <c:ext xmlns:c16="http://schemas.microsoft.com/office/drawing/2014/chart" uri="{C3380CC4-5D6E-409C-BE32-E72D297353CC}">
              <c16:uniqueId val="{00000004-CB61-4CED-927B-58B91855F0A7}"/>
            </c:ext>
          </c:extLst>
        </c:ser>
        <c:ser>
          <c:idx val="5"/>
          <c:order val="5"/>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Text!$X$367</c:f>
              <c:numCache>
                <c:formatCode>0.00</c:formatCode>
                <c:ptCount val="1"/>
                <c:pt idx="0">
                  <c:v>0.15</c:v>
                </c:pt>
              </c:numCache>
            </c:numRef>
          </c:val>
          <c:extLst>
            <c:ext xmlns:c16="http://schemas.microsoft.com/office/drawing/2014/chart" uri="{C3380CC4-5D6E-409C-BE32-E72D297353CC}">
              <c16:uniqueId val="{00000005-CB61-4CED-927B-58B91855F0A7}"/>
            </c:ext>
          </c:extLst>
        </c:ser>
        <c:ser>
          <c:idx val="6"/>
          <c:order val="6"/>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Text!$X$368</c:f>
              <c:numCache>
                <c:formatCode>0.00</c:formatCode>
                <c:ptCount val="1"/>
                <c:pt idx="0">
                  <c:v>0.2</c:v>
                </c:pt>
              </c:numCache>
            </c:numRef>
          </c:val>
          <c:extLst>
            <c:ext xmlns:c16="http://schemas.microsoft.com/office/drawing/2014/chart" uri="{C3380CC4-5D6E-409C-BE32-E72D297353CC}">
              <c16:uniqueId val="{00000006-CB61-4CED-927B-58B91855F0A7}"/>
            </c:ext>
          </c:extLst>
        </c:ser>
        <c:ser>
          <c:idx val="7"/>
          <c:order val="7"/>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Text!$X$369</c:f>
              <c:numCache>
                <c:formatCode>0.00</c:formatCode>
                <c:ptCount val="1"/>
                <c:pt idx="0">
                  <c:v>0.15</c:v>
                </c:pt>
              </c:numCache>
            </c:numRef>
          </c:val>
          <c:extLst>
            <c:ext xmlns:c16="http://schemas.microsoft.com/office/drawing/2014/chart" uri="{C3380CC4-5D6E-409C-BE32-E72D297353CC}">
              <c16:uniqueId val="{00000007-CB61-4CED-927B-58B91855F0A7}"/>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E8F1D9"/>
            </a:solidFill>
            <a:ln>
              <a:solidFill>
                <a:srgbClr val="C00000"/>
              </a:solidFill>
            </a:ln>
            <a:effectLst/>
          </c:spPr>
          <c:invertIfNegative val="0"/>
          <c:dPt>
            <c:idx val="0"/>
            <c:invertIfNegative val="0"/>
            <c:bubble3D val="0"/>
            <c:spPr>
              <a:solidFill>
                <a:srgbClr val="E8F1D9"/>
              </a:solidFill>
              <a:ln>
                <a:solidFill>
                  <a:srgbClr val="76B729"/>
                </a:solidFill>
              </a:ln>
              <a:effectLst/>
            </c:spPr>
            <c:extLst>
              <c:ext xmlns:c16="http://schemas.microsoft.com/office/drawing/2014/chart" uri="{C3380CC4-5D6E-409C-BE32-E72D297353CC}">
                <c16:uniqueId val="{00000001-39B3-4BB3-AD6C-0AE752626D90}"/>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Text!$W$362</c:f>
              <c:numCache>
                <c:formatCode>0.00</c:formatCode>
                <c:ptCount val="1"/>
                <c:pt idx="0">
                  <c:v>0</c:v>
                </c:pt>
              </c:numCache>
            </c:numRef>
          </c:val>
          <c:extLst>
            <c:ext xmlns:c16="http://schemas.microsoft.com/office/drawing/2014/chart" uri="{C3380CC4-5D6E-409C-BE32-E72D297353CC}">
              <c16:uniqueId val="{00000002-39B3-4BB3-AD6C-0AE752626D90}"/>
            </c:ext>
          </c:extLst>
        </c:ser>
        <c:ser>
          <c:idx val="1"/>
          <c:order val="1"/>
          <c:spPr>
            <a:solidFill>
              <a:srgbClr val="E8F1D9"/>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Text!$W$363</c:f>
              <c:numCache>
                <c:formatCode>0.00</c:formatCode>
                <c:ptCount val="1"/>
                <c:pt idx="0">
                  <c:v>0</c:v>
                </c:pt>
              </c:numCache>
            </c:numRef>
          </c:val>
          <c:extLst>
            <c:ext xmlns:c16="http://schemas.microsoft.com/office/drawing/2014/chart" uri="{C3380CC4-5D6E-409C-BE32-E72D297353CC}">
              <c16:uniqueId val="{00000003-39B3-4BB3-AD6C-0AE752626D90}"/>
            </c:ext>
          </c:extLst>
        </c:ser>
        <c:ser>
          <c:idx val="2"/>
          <c:order val="2"/>
          <c:spPr>
            <a:solidFill>
              <a:srgbClr val="E8F1D9"/>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Text!$W$364</c:f>
              <c:numCache>
                <c:formatCode>0.00</c:formatCode>
                <c:ptCount val="1"/>
                <c:pt idx="0">
                  <c:v>0</c:v>
                </c:pt>
              </c:numCache>
            </c:numRef>
          </c:val>
          <c:extLst>
            <c:ext xmlns:c16="http://schemas.microsoft.com/office/drawing/2014/chart" uri="{C3380CC4-5D6E-409C-BE32-E72D297353CC}">
              <c16:uniqueId val="{00000004-39B3-4BB3-AD6C-0AE752626D90}"/>
            </c:ext>
          </c:extLst>
        </c:ser>
        <c:ser>
          <c:idx val="3"/>
          <c:order val="3"/>
          <c:spPr>
            <a:solidFill>
              <a:srgbClr val="E8F1D9"/>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Text!$W$365</c:f>
              <c:numCache>
                <c:formatCode>0.00</c:formatCode>
                <c:ptCount val="1"/>
                <c:pt idx="0">
                  <c:v>0</c:v>
                </c:pt>
              </c:numCache>
            </c:numRef>
          </c:val>
          <c:extLst>
            <c:ext xmlns:c16="http://schemas.microsoft.com/office/drawing/2014/chart" uri="{C3380CC4-5D6E-409C-BE32-E72D297353CC}">
              <c16:uniqueId val="{00000005-39B3-4BB3-AD6C-0AE752626D90}"/>
            </c:ext>
          </c:extLst>
        </c:ser>
        <c:ser>
          <c:idx val="4"/>
          <c:order val="4"/>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Text!$W$366</c:f>
              <c:numCache>
                <c:formatCode>0.00</c:formatCode>
                <c:ptCount val="1"/>
                <c:pt idx="0">
                  <c:v>0.5</c:v>
                </c:pt>
              </c:numCache>
            </c:numRef>
          </c:val>
          <c:extLst>
            <c:ext xmlns:c16="http://schemas.microsoft.com/office/drawing/2014/chart" uri="{C3380CC4-5D6E-409C-BE32-E72D297353CC}">
              <c16:uniqueId val="{00000006-39B3-4BB3-AD6C-0AE752626D90}"/>
            </c:ext>
          </c:extLst>
        </c:ser>
        <c:ser>
          <c:idx val="5"/>
          <c:order val="5"/>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Text!$W$367</c:f>
              <c:numCache>
                <c:formatCode>0.00</c:formatCode>
                <c:ptCount val="1"/>
                <c:pt idx="0">
                  <c:v>0.15</c:v>
                </c:pt>
              </c:numCache>
            </c:numRef>
          </c:val>
          <c:extLst>
            <c:ext xmlns:c16="http://schemas.microsoft.com/office/drawing/2014/chart" uri="{C3380CC4-5D6E-409C-BE32-E72D297353CC}">
              <c16:uniqueId val="{00000007-39B3-4BB3-AD6C-0AE752626D90}"/>
            </c:ext>
          </c:extLst>
        </c:ser>
        <c:ser>
          <c:idx val="6"/>
          <c:order val="6"/>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Text!$W$368</c:f>
              <c:numCache>
                <c:formatCode>0.00</c:formatCode>
                <c:ptCount val="1"/>
                <c:pt idx="0">
                  <c:v>0.2</c:v>
                </c:pt>
              </c:numCache>
            </c:numRef>
          </c:val>
          <c:extLst>
            <c:ext xmlns:c16="http://schemas.microsoft.com/office/drawing/2014/chart" uri="{C3380CC4-5D6E-409C-BE32-E72D297353CC}">
              <c16:uniqueId val="{00000008-39B3-4BB3-AD6C-0AE752626D90}"/>
            </c:ext>
          </c:extLst>
        </c:ser>
        <c:ser>
          <c:idx val="7"/>
          <c:order val="7"/>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Text!$W$369</c:f>
              <c:numCache>
                <c:formatCode>0.00</c:formatCode>
                <c:ptCount val="1"/>
                <c:pt idx="0">
                  <c:v>0.15</c:v>
                </c:pt>
              </c:numCache>
            </c:numRef>
          </c:val>
          <c:extLst>
            <c:ext xmlns:c16="http://schemas.microsoft.com/office/drawing/2014/chart" uri="{C3380CC4-5D6E-409C-BE32-E72D297353CC}">
              <c16:uniqueId val="{00000009-39B3-4BB3-AD6C-0AE752626D9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1-9127-4A94-B8D0-6307966D6F4E}"/>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Text!$Z$384</c:f>
              <c:numCache>
                <c:formatCode>General</c:formatCode>
                <c:ptCount val="1"/>
                <c:pt idx="0">
                  <c:v>0</c:v>
                </c:pt>
              </c:numCache>
            </c:numRef>
          </c:val>
          <c:extLst>
            <c:ext xmlns:c16="http://schemas.microsoft.com/office/drawing/2014/chart" uri="{C3380CC4-5D6E-409C-BE32-E72D297353CC}">
              <c16:uniqueId val="{00000002-9127-4A94-B8D0-6307966D6F4E}"/>
            </c:ext>
          </c:extLst>
        </c:ser>
        <c:ser>
          <c:idx val="1"/>
          <c:order val="1"/>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Text!$Z$385</c:f>
              <c:numCache>
                <c:formatCode>General</c:formatCode>
                <c:ptCount val="1"/>
                <c:pt idx="0">
                  <c:v>0</c:v>
                </c:pt>
              </c:numCache>
            </c:numRef>
          </c:val>
          <c:extLst>
            <c:ext xmlns:c16="http://schemas.microsoft.com/office/drawing/2014/chart" uri="{C3380CC4-5D6E-409C-BE32-E72D297353CC}">
              <c16:uniqueId val="{00000003-9127-4A94-B8D0-6307966D6F4E}"/>
            </c:ext>
          </c:extLst>
        </c:ser>
        <c:ser>
          <c:idx val="2"/>
          <c:order val="2"/>
          <c:spPr>
            <a:solidFill>
              <a:srgbClr val="FFC000">
                <a:lumMod val="20000"/>
                <a:lumOff val="80000"/>
              </a:srgbClr>
            </a:solidFill>
            <a:ln>
              <a:solidFill>
                <a:srgbClr val="FFC000">
                  <a:lumMod val="75000"/>
                </a:srgbClr>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5-9127-4A94-B8D0-6307966D6F4E}"/>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Text!$Z$386</c:f>
              <c:numCache>
                <c:formatCode>General</c:formatCode>
                <c:ptCount val="1"/>
                <c:pt idx="0">
                  <c:v>0</c:v>
                </c:pt>
              </c:numCache>
            </c:numRef>
          </c:val>
          <c:extLst>
            <c:ext xmlns:c16="http://schemas.microsoft.com/office/drawing/2014/chart" uri="{C3380CC4-5D6E-409C-BE32-E72D297353CC}">
              <c16:uniqueId val="{00000006-9127-4A94-B8D0-6307966D6F4E}"/>
            </c:ext>
          </c:extLst>
        </c:ser>
        <c:ser>
          <c:idx val="3"/>
          <c:order val="3"/>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Text!$Z$387</c:f>
              <c:numCache>
                <c:formatCode>General</c:formatCode>
                <c:ptCount val="1"/>
                <c:pt idx="0">
                  <c:v>0</c:v>
                </c:pt>
              </c:numCache>
            </c:numRef>
          </c:val>
          <c:extLst>
            <c:ext xmlns:c16="http://schemas.microsoft.com/office/drawing/2014/chart" uri="{C3380CC4-5D6E-409C-BE32-E72D297353CC}">
              <c16:uniqueId val="{00000007-9127-4A94-B8D0-6307966D6F4E}"/>
            </c:ext>
          </c:extLst>
        </c:ser>
        <c:ser>
          <c:idx val="4"/>
          <c:order val="4"/>
          <c:spPr>
            <a:solidFill>
              <a:srgbClr val="FFC000">
                <a:lumMod val="20000"/>
                <a:lumOff val="80000"/>
              </a:srgbClr>
            </a:solidFill>
            <a:ln>
              <a:solidFill>
                <a:srgbClr val="FFC000">
                  <a:lumMod val="75000"/>
                </a:srgbClr>
              </a:solidFill>
            </a:ln>
            <a:effectLst/>
          </c:spPr>
          <c:invertIfNegative val="0"/>
          <c:dPt>
            <c:idx val="0"/>
            <c:invertIfNegative val="0"/>
            <c:bubble3D val="0"/>
            <c:spPr>
              <a:noFill/>
              <a:ln>
                <a:solidFill>
                  <a:srgbClr val="FFC000">
                    <a:lumMod val="75000"/>
                  </a:srgbClr>
                </a:solidFill>
              </a:ln>
              <a:effectLst/>
            </c:spPr>
            <c:extLst>
              <c:ext xmlns:c16="http://schemas.microsoft.com/office/drawing/2014/chart" uri="{C3380CC4-5D6E-409C-BE32-E72D297353CC}">
                <c16:uniqueId val="{00000009-9127-4A94-B8D0-6307966D6F4E}"/>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Text!$Z$388</c:f>
              <c:numCache>
                <c:formatCode>General</c:formatCode>
                <c:ptCount val="1"/>
                <c:pt idx="0">
                  <c:v>0.5</c:v>
                </c:pt>
              </c:numCache>
            </c:numRef>
          </c:val>
          <c:extLst>
            <c:ext xmlns:c16="http://schemas.microsoft.com/office/drawing/2014/chart" uri="{C3380CC4-5D6E-409C-BE32-E72D297353CC}">
              <c16:uniqueId val="{0000000A-9127-4A94-B8D0-6307966D6F4E}"/>
            </c:ext>
          </c:extLst>
        </c:ser>
        <c:ser>
          <c:idx val="5"/>
          <c:order val="5"/>
          <c:spPr>
            <a:noFill/>
            <a:ln>
              <a:no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Text!$Z$389</c:f>
              <c:numCache>
                <c:formatCode>General</c:formatCode>
                <c:ptCount val="1"/>
                <c:pt idx="0">
                  <c:v>0.15</c:v>
                </c:pt>
              </c:numCache>
            </c:numRef>
          </c:val>
          <c:extLst>
            <c:ext xmlns:c16="http://schemas.microsoft.com/office/drawing/2014/chart" uri="{C3380CC4-5D6E-409C-BE32-E72D297353CC}">
              <c16:uniqueId val="{0000000B-9127-4A94-B8D0-6307966D6F4E}"/>
            </c:ext>
          </c:extLst>
        </c:ser>
        <c:ser>
          <c:idx val="6"/>
          <c:order val="6"/>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Text!$Z$390</c:f>
              <c:numCache>
                <c:formatCode>General</c:formatCode>
                <c:ptCount val="1"/>
                <c:pt idx="0">
                  <c:v>0.2</c:v>
                </c:pt>
              </c:numCache>
            </c:numRef>
          </c:val>
          <c:extLst>
            <c:ext xmlns:c16="http://schemas.microsoft.com/office/drawing/2014/chart" uri="{C3380CC4-5D6E-409C-BE32-E72D297353CC}">
              <c16:uniqueId val="{0000000C-9127-4A94-B8D0-6307966D6F4E}"/>
            </c:ext>
          </c:extLst>
        </c:ser>
        <c:ser>
          <c:idx val="7"/>
          <c:order val="7"/>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Text!$Z$391</c:f>
              <c:numCache>
                <c:formatCode>General</c:formatCode>
                <c:ptCount val="1"/>
                <c:pt idx="0">
                  <c:v>0.15</c:v>
                </c:pt>
              </c:numCache>
            </c:numRef>
          </c:val>
          <c:extLst>
            <c:ext xmlns:c16="http://schemas.microsoft.com/office/drawing/2014/chart" uri="{C3380CC4-5D6E-409C-BE32-E72D297353CC}">
              <c16:uniqueId val="{0000000D-9127-4A94-B8D0-6307966D6F4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7CED3"/>
            </a:solidFill>
            <a:ln>
              <a:solidFill>
                <a:srgbClr val="E30613"/>
              </a:solidFill>
            </a:ln>
            <a:effectLst/>
          </c:spPr>
          <c:invertIfNegative val="0"/>
          <c:dPt>
            <c:idx val="0"/>
            <c:invertIfNegative val="0"/>
            <c:bubble3D val="0"/>
            <c:spPr>
              <a:solidFill>
                <a:srgbClr val="FFD1D1"/>
              </a:solidFill>
              <a:ln>
                <a:solidFill>
                  <a:srgbClr val="E30613"/>
                </a:solidFill>
              </a:ln>
              <a:effectLst/>
            </c:spPr>
            <c:extLst>
              <c:ext xmlns:c16="http://schemas.microsoft.com/office/drawing/2014/chart" uri="{C3380CC4-5D6E-409C-BE32-E72D297353CC}">
                <c16:uniqueId val="{00000001-18DD-4BC6-9164-B27D1307E88F}"/>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Text!$W$384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7CED3"/>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2-18DD-4BC6-9164-B27D1307E88F}"/>
            </c:ext>
          </c:extLst>
        </c:ser>
        <c:ser>
          <c:idx val="1"/>
          <c:order val="1"/>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Text!$W$385</c:f>
              <c:numCache>
                <c:formatCode>General</c:formatCode>
                <c:ptCount val="1"/>
                <c:pt idx="0">
                  <c:v>0</c:v>
                </c:pt>
              </c:numCache>
            </c:numRef>
          </c:val>
          <c:extLst>
            <c:ext xmlns:c16="http://schemas.microsoft.com/office/drawing/2014/chart" uri="{C3380CC4-5D6E-409C-BE32-E72D297353CC}">
              <c16:uniqueId val="{00000003-18DD-4BC6-9164-B27D1307E88F}"/>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Text!$W$386</c:f>
              <c:numCache>
                <c:formatCode>General</c:formatCode>
                <c:ptCount val="1"/>
                <c:pt idx="0">
                  <c:v>0</c:v>
                </c:pt>
              </c:numCache>
            </c:numRef>
          </c:val>
          <c:extLst>
            <c:ext xmlns:c16="http://schemas.microsoft.com/office/drawing/2014/chart" uri="{C3380CC4-5D6E-409C-BE32-E72D297353CC}">
              <c16:uniqueId val="{00000004-18DD-4BC6-9164-B27D1307E88F}"/>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Text!$W$387</c:f>
              <c:numCache>
                <c:formatCode>General</c:formatCode>
                <c:ptCount val="1"/>
                <c:pt idx="0">
                  <c:v>0</c:v>
                </c:pt>
              </c:numCache>
            </c:numRef>
          </c:val>
          <c:extLst>
            <c:ext xmlns:c16="http://schemas.microsoft.com/office/drawing/2014/chart" uri="{C3380CC4-5D6E-409C-BE32-E72D297353CC}">
              <c16:uniqueId val="{00000005-18DD-4BC6-9164-B27D1307E88F}"/>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Text!$W$388</c:f>
              <c:numCache>
                <c:formatCode>General</c:formatCode>
                <c:ptCount val="1"/>
                <c:pt idx="0">
                  <c:v>0.5</c:v>
                </c:pt>
              </c:numCache>
            </c:numRef>
          </c:val>
          <c:extLst>
            <c:ext xmlns:c16="http://schemas.microsoft.com/office/drawing/2014/chart" uri="{C3380CC4-5D6E-409C-BE32-E72D297353CC}">
              <c16:uniqueId val="{00000006-18DD-4BC6-9164-B27D1307E88F}"/>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Text!$W$389</c:f>
              <c:numCache>
                <c:formatCode>General</c:formatCode>
                <c:ptCount val="1"/>
                <c:pt idx="0">
                  <c:v>0.15</c:v>
                </c:pt>
              </c:numCache>
            </c:numRef>
          </c:val>
          <c:extLst>
            <c:ext xmlns:c16="http://schemas.microsoft.com/office/drawing/2014/chart" uri="{C3380CC4-5D6E-409C-BE32-E72D297353CC}">
              <c16:uniqueId val="{00000007-18DD-4BC6-9164-B27D1307E88F}"/>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Text!$W$390</c:f>
              <c:numCache>
                <c:formatCode>General</c:formatCode>
                <c:ptCount val="1"/>
                <c:pt idx="0">
                  <c:v>0.2</c:v>
                </c:pt>
              </c:numCache>
            </c:numRef>
          </c:val>
          <c:extLst>
            <c:ext xmlns:c16="http://schemas.microsoft.com/office/drawing/2014/chart" uri="{C3380CC4-5D6E-409C-BE32-E72D297353CC}">
              <c16:uniqueId val="{00000008-18DD-4BC6-9164-B27D1307E88F}"/>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Text!$W$391</c:f>
              <c:numCache>
                <c:formatCode>General</c:formatCode>
                <c:ptCount val="1"/>
                <c:pt idx="0">
                  <c:v>0.15</c:v>
                </c:pt>
              </c:numCache>
            </c:numRef>
          </c:val>
          <c:extLst>
            <c:ext xmlns:c16="http://schemas.microsoft.com/office/drawing/2014/chart" uri="{C3380CC4-5D6E-409C-BE32-E72D297353CC}">
              <c16:uniqueId val="{00000009-18DD-4BC6-9164-B27D1307E88F}"/>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1-F27D-4359-A9E3-55C092147AB1}"/>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Text!$X$384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CCE9F4"/>
                    </a:solidFill>
                    <a:ln>
                      <a:solidFill>
                        <a:srgbClr val="5DC4E1"/>
                      </a:solidFill>
                    </a:ln>
                    <a:effectLst/>
                  </c15:spPr>
                  <c15:invertIfNegative val="0"/>
                  <c15:bubble3D val="0"/>
                </c15:categoryFilterException>
              </c15:categoryFilterExceptions>
            </c:ext>
            <c:ext xmlns:c16="http://schemas.microsoft.com/office/drawing/2014/chart" uri="{C3380CC4-5D6E-409C-BE32-E72D297353CC}">
              <c16:uniqueId val="{00000002-F27D-4359-A9E3-55C092147AB1}"/>
            </c:ext>
          </c:extLst>
        </c:ser>
        <c:ser>
          <c:idx val="1"/>
          <c:order val="1"/>
          <c:spPr>
            <a:solidFill>
              <a:srgbClr val="CCE9F4"/>
            </a:solidFill>
            <a:ln>
              <a:solidFill>
                <a:srgbClr val="5DC4E1"/>
              </a:solidFill>
            </a:ln>
            <a:effectLst/>
          </c:spPr>
          <c:invertIfNegative val="0"/>
          <c:dPt>
            <c:idx val="0"/>
            <c:invertIfNegative val="0"/>
            <c:bubble3D val="0"/>
            <c:spPr>
              <a:solidFill>
                <a:srgbClr val="B3DEEF"/>
              </a:solidFill>
              <a:ln>
                <a:solidFill>
                  <a:srgbClr val="5DC4E1"/>
                </a:solidFill>
              </a:ln>
              <a:effectLst/>
            </c:spPr>
            <c:extLst>
              <c:ext xmlns:c16="http://schemas.microsoft.com/office/drawing/2014/chart" uri="{C3380CC4-5D6E-409C-BE32-E72D297353CC}">
                <c16:uniqueId val="{00000004-F27D-4359-A9E3-55C092147AB1}"/>
              </c:ext>
            </c:extLst>
          </c:dPt>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Text!$X$385</c:f>
              <c:numCache>
                <c:formatCode>General</c:formatCode>
                <c:ptCount val="1"/>
                <c:pt idx="0">
                  <c:v>0</c:v>
                </c:pt>
              </c:numCache>
            </c:numRef>
          </c:val>
          <c:extLst>
            <c:ext xmlns:c16="http://schemas.microsoft.com/office/drawing/2014/chart" uri="{C3380CC4-5D6E-409C-BE32-E72D297353CC}">
              <c16:uniqueId val="{00000005-F27D-4359-A9E3-55C092147AB1}"/>
            </c:ext>
          </c:extLst>
        </c:ser>
        <c:ser>
          <c:idx val="2"/>
          <c:order val="2"/>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Text!$X$386</c:f>
              <c:numCache>
                <c:formatCode>General</c:formatCode>
                <c:ptCount val="1"/>
                <c:pt idx="0">
                  <c:v>0</c:v>
                </c:pt>
              </c:numCache>
            </c:numRef>
          </c:val>
          <c:extLst>
            <c:ext xmlns:c16="http://schemas.microsoft.com/office/drawing/2014/chart" uri="{C3380CC4-5D6E-409C-BE32-E72D297353CC}">
              <c16:uniqueId val="{00000006-F27D-4359-A9E3-55C092147AB1}"/>
            </c:ext>
          </c:extLst>
        </c:ser>
        <c:ser>
          <c:idx val="3"/>
          <c:order val="3"/>
          <c:spPr>
            <a:solidFill>
              <a:srgbClr val="B3DEE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Text!$X$387</c:f>
              <c:numCache>
                <c:formatCode>General</c:formatCode>
                <c:ptCount val="1"/>
                <c:pt idx="0">
                  <c:v>0</c:v>
                </c:pt>
              </c:numCache>
            </c:numRef>
          </c:val>
          <c:extLst>
            <c:ext xmlns:c16="http://schemas.microsoft.com/office/drawing/2014/chart" uri="{C3380CC4-5D6E-409C-BE32-E72D297353CC}">
              <c16:uniqueId val="{00000007-F27D-4359-A9E3-55C092147AB1}"/>
            </c:ext>
          </c:extLst>
        </c:ser>
        <c:ser>
          <c:idx val="4"/>
          <c:order val="4"/>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Text!$X$388</c:f>
              <c:numCache>
                <c:formatCode>General</c:formatCode>
                <c:ptCount val="1"/>
                <c:pt idx="0">
                  <c:v>0.5</c:v>
                </c:pt>
              </c:numCache>
            </c:numRef>
          </c:val>
          <c:extLst>
            <c:ext xmlns:c16="http://schemas.microsoft.com/office/drawing/2014/chart" uri="{C3380CC4-5D6E-409C-BE32-E72D297353CC}">
              <c16:uniqueId val="{00000008-F27D-4359-A9E3-55C092147AB1}"/>
            </c:ext>
          </c:extLst>
        </c:ser>
        <c:ser>
          <c:idx val="5"/>
          <c:order val="5"/>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Text!$X$389</c:f>
              <c:numCache>
                <c:formatCode>General</c:formatCode>
                <c:ptCount val="1"/>
                <c:pt idx="0">
                  <c:v>0.15</c:v>
                </c:pt>
              </c:numCache>
            </c:numRef>
          </c:val>
          <c:extLst>
            <c:ext xmlns:c16="http://schemas.microsoft.com/office/drawing/2014/chart" uri="{C3380CC4-5D6E-409C-BE32-E72D297353CC}">
              <c16:uniqueId val="{00000009-F27D-4359-A9E3-55C092147AB1}"/>
            </c:ext>
          </c:extLst>
        </c:ser>
        <c:ser>
          <c:idx val="6"/>
          <c:order val="6"/>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Text!$X$390</c:f>
              <c:numCache>
                <c:formatCode>General</c:formatCode>
                <c:ptCount val="1"/>
                <c:pt idx="0">
                  <c:v>0.2</c:v>
                </c:pt>
              </c:numCache>
            </c:numRef>
          </c:val>
          <c:extLst>
            <c:ext xmlns:c16="http://schemas.microsoft.com/office/drawing/2014/chart" uri="{C3380CC4-5D6E-409C-BE32-E72D297353CC}">
              <c16:uniqueId val="{0000000A-F27D-4359-A9E3-55C092147AB1}"/>
            </c:ext>
          </c:extLst>
        </c:ser>
        <c:ser>
          <c:idx val="7"/>
          <c:order val="7"/>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Text!$X$391</c:f>
              <c:numCache>
                <c:formatCode>General</c:formatCode>
                <c:ptCount val="1"/>
                <c:pt idx="0">
                  <c:v>0.15</c:v>
                </c:pt>
              </c:numCache>
            </c:numRef>
          </c:val>
          <c:extLst>
            <c:ext xmlns:c16="http://schemas.microsoft.com/office/drawing/2014/chart" uri="{C3380CC4-5D6E-409C-BE32-E72D297353CC}">
              <c16:uniqueId val="{0000000B-F27D-4359-A9E3-55C092147AB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1-701E-4B60-9AA8-164D433D89EA}"/>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Text!$Y$384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C000">
                        <a:lumMod val="20000"/>
                        <a:lumOff val="80000"/>
                      </a:srgbClr>
                    </a:solidFill>
                    <a:ln>
                      <a:solidFill>
                        <a:srgbClr val="FFC000">
                          <a:lumMod val="75000"/>
                        </a:srgbClr>
                      </a:solidFill>
                    </a:ln>
                    <a:effectLst/>
                  </c15:spPr>
                  <c15:invertIfNegative val="0"/>
                  <c15:bubble3D val="0"/>
                </c15:categoryFilterException>
              </c15:categoryFilterExceptions>
            </c:ext>
            <c:ext xmlns:c16="http://schemas.microsoft.com/office/drawing/2014/chart" uri="{C3380CC4-5D6E-409C-BE32-E72D297353CC}">
              <c16:uniqueId val="{00000002-701E-4B60-9AA8-164D433D89EA}"/>
            </c:ext>
          </c:extLst>
        </c:ser>
        <c:ser>
          <c:idx val="1"/>
          <c:order val="1"/>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4-701E-4B60-9AA8-164D433D89EA}"/>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Text!$Y$385</c:f>
              <c:numCache>
                <c:formatCode>General</c:formatCode>
                <c:ptCount val="1"/>
                <c:pt idx="0">
                  <c:v>0</c:v>
                </c:pt>
              </c:numCache>
            </c:numRef>
          </c:val>
          <c:extLst>
            <c:ext xmlns:c16="http://schemas.microsoft.com/office/drawing/2014/chart" uri="{C3380CC4-5D6E-409C-BE32-E72D297353CC}">
              <c16:uniqueId val="{00000005-701E-4B60-9AA8-164D433D89EA}"/>
            </c:ext>
          </c:extLst>
        </c:ser>
        <c:ser>
          <c:idx val="2"/>
          <c:order val="2"/>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Text!$Y$386</c:f>
              <c:numCache>
                <c:formatCode>General</c:formatCode>
                <c:ptCount val="1"/>
                <c:pt idx="0">
                  <c:v>0</c:v>
                </c:pt>
              </c:numCache>
            </c:numRef>
          </c:val>
          <c:extLst>
            <c:ext xmlns:c16="http://schemas.microsoft.com/office/drawing/2014/chart" uri="{C3380CC4-5D6E-409C-BE32-E72D297353CC}">
              <c16:uniqueId val="{00000006-701E-4B60-9AA8-164D433D89EA}"/>
            </c:ext>
          </c:extLst>
        </c:ser>
        <c:ser>
          <c:idx val="3"/>
          <c:order val="3"/>
          <c:spPr>
            <a:solidFill>
              <a:srgbClr val="FFD1D1"/>
            </a:solidFill>
            <a:ln>
              <a:solidFill>
                <a:srgbClr val="C00000"/>
              </a:solidFill>
            </a:ln>
            <a:effectLst/>
          </c:spPr>
          <c:invertIfNegative val="0"/>
          <c:dPt>
            <c:idx val="0"/>
            <c:invertIfNegative val="0"/>
            <c:bubble3D val="0"/>
            <c:spPr>
              <a:solidFill>
                <a:srgbClr val="D1E3B0"/>
              </a:solidFill>
              <a:ln>
                <a:solidFill>
                  <a:srgbClr val="76B729"/>
                </a:solidFill>
              </a:ln>
              <a:effectLst/>
            </c:spPr>
            <c:extLst>
              <c:ext xmlns:c16="http://schemas.microsoft.com/office/drawing/2014/chart" uri="{C3380CC4-5D6E-409C-BE32-E72D297353CC}">
                <c16:uniqueId val="{00000008-701E-4B60-9AA8-164D433D89EA}"/>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Text!$Y$387</c:f>
              <c:numCache>
                <c:formatCode>General</c:formatCode>
                <c:ptCount val="1"/>
                <c:pt idx="0">
                  <c:v>0</c:v>
                </c:pt>
              </c:numCache>
            </c:numRef>
          </c:val>
          <c:extLst>
            <c:ext xmlns:c16="http://schemas.microsoft.com/office/drawing/2014/chart" uri="{C3380CC4-5D6E-409C-BE32-E72D297353CC}">
              <c16:uniqueId val="{00000009-701E-4B60-9AA8-164D433D89EA}"/>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Text!$Y$388</c:f>
              <c:numCache>
                <c:formatCode>General</c:formatCode>
                <c:ptCount val="1"/>
                <c:pt idx="0">
                  <c:v>0.5</c:v>
                </c:pt>
              </c:numCache>
            </c:numRef>
          </c:val>
          <c:extLst>
            <c:ext xmlns:c16="http://schemas.microsoft.com/office/drawing/2014/chart" uri="{C3380CC4-5D6E-409C-BE32-E72D297353CC}">
              <c16:uniqueId val="{0000000A-701E-4B60-9AA8-164D433D89EA}"/>
            </c:ext>
          </c:extLst>
        </c:ser>
        <c:ser>
          <c:idx val="5"/>
          <c:order val="5"/>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Text!$Y$389</c:f>
              <c:numCache>
                <c:formatCode>General</c:formatCode>
                <c:ptCount val="1"/>
                <c:pt idx="0">
                  <c:v>0.15</c:v>
                </c:pt>
              </c:numCache>
            </c:numRef>
          </c:val>
          <c:extLst>
            <c:ext xmlns:c16="http://schemas.microsoft.com/office/drawing/2014/chart" uri="{C3380CC4-5D6E-409C-BE32-E72D297353CC}">
              <c16:uniqueId val="{0000000B-701E-4B60-9AA8-164D433D89EA}"/>
            </c:ext>
          </c:extLst>
        </c:ser>
        <c:ser>
          <c:idx val="6"/>
          <c:order val="6"/>
          <c:spPr>
            <a:solidFill>
              <a:sysClr val="window" lastClr="FFFFFF"/>
            </a:solidFill>
            <a:ln>
              <a:no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D-701E-4B60-9AA8-164D433D89EA}"/>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Text!$Y$390</c:f>
              <c:numCache>
                <c:formatCode>General</c:formatCode>
                <c:ptCount val="1"/>
                <c:pt idx="0">
                  <c:v>0.2</c:v>
                </c:pt>
              </c:numCache>
            </c:numRef>
          </c:val>
          <c:extLst>
            <c:ext xmlns:c16="http://schemas.microsoft.com/office/drawing/2014/chart" uri="{C3380CC4-5D6E-409C-BE32-E72D297353CC}">
              <c16:uniqueId val="{0000000E-701E-4B60-9AA8-164D433D89EA}"/>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Text!$Y$391</c:f>
              <c:numCache>
                <c:formatCode>General</c:formatCode>
                <c:ptCount val="1"/>
                <c:pt idx="0">
                  <c:v>0.15</c:v>
                </c:pt>
              </c:numCache>
            </c:numRef>
          </c:val>
          <c:extLst>
            <c:ext xmlns:c16="http://schemas.microsoft.com/office/drawing/2014/chart" uri="{C3380CC4-5D6E-409C-BE32-E72D297353CC}">
              <c16:uniqueId val="{0000000F-701E-4B60-9AA8-164D433D89EA}"/>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1-A4C8-4BA8-979B-4C61C482243C}"/>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Text!$Z$384</c:f>
              <c:numCache>
                <c:formatCode>General</c:formatCode>
                <c:ptCount val="1"/>
                <c:pt idx="0">
                  <c:v>0</c:v>
                </c:pt>
              </c:numCache>
            </c:numRef>
          </c:val>
          <c:extLst>
            <c:ext xmlns:c16="http://schemas.microsoft.com/office/drawing/2014/chart" uri="{C3380CC4-5D6E-409C-BE32-E72D297353CC}">
              <c16:uniqueId val="{00000002-A4C8-4BA8-979B-4C61C482243C}"/>
            </c:ext>
          </c:extLst>
        </c:ser>
        <c:ser>
          <c:idx val="1"/>
          <c:order val="1"/>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Text!$Z$385</c:f>
              <c:numCache>
                <c:formatCode>General</c:formatCode>
                <c:ptCount val="1"/>
                <c:pt idx="0">
                  <c:v>0</c:v>
                </c:pt>
              </c:numCache>
            </c:numRef>
          </c:val>
          <c:extLst>
            <c:ext xmlns:c16="http://schemas.microsoft.com/office/drawing/2014/chart" uri="{C3380CC4-5D6E-409C-BE32-E72D297353CC}">
              <c16:uniqueId val="{00000003-A4C8-4BA8-979B-4C61C482243C}"/>
            </c:ext>
          </c:extLst>
        </c:ser>
        <c:ser>
          <c:idx val="2"/>
          <c:order val="2"/>
          <c:spPr>
            <a:solidFill>
              <a:srgbClr val="FFC000">
                <a:lumMod val="20000"/>
                <a:lumOff val="80000"/>
              </a:srgbClr>
            </a:solidFill>
            <a:ln>
              <a:solidFill>
                <a:srgbClr val="FFC000">
                  <a:lumMod val="75000"/>
                </a:srgbClr>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05-A4C8-4BA8-979B-4C61C482243C}"/>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Text!$Z$386</c:f>
              <c:numCache>
                <c:formatCode>General</c:formatCode>
                <c:ptCount val="1"/>
                <c:pt idx="0">
                  <c:v>0</c:v>
                </c:pt>
              </c:numCache>
            </c:numRef>
          </c:val>
          <c:extLst>
            <c:ext xmlns:c16="http://schemas.microsoft.com/office/drawing/2014/chart" uri="{C3380CC4-5D6E-409C-BE32-E72D297353CC}">
              <c16:uniqueId val="{00000006-A4C8-4BA8-979B-4C61C482243C}"/>
            </c:ext>
          </c:extLst>
        </c:ser>
        <c:ser>
          <c:idx val="3"/>
          <c:order val="3"/>
          <c:spPr>
            <a:solidFill>
              <a:srgbClr val="FFC000">
                <a:lumMod val="20000"/>
                <a:lumOff val="80000"/>
              </a:srgbClr>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Text!$Z$387</c:f>
              <c:numCache>
                <c:formatCode>General</c:formatCode>
                <c:ptCount val="1"/>
                <c:pt idx="0">
                  <c:v>0</c:v>
                </c:pt>
              </c:numCache>
            </c:numRef>
          </c:val>
          <c:extLst>
            <c:ext xmlns:c16="http://schemas.microsoft.com/office/drawing/2014/chart" uri="{C3380CC4-5D6E-409C-BE32-E72D297353CC}">
              <c16:uniqueId val="{00000007-A4C8-4BA8-979B-4C61C482243C}"/>
            </c:ext>
          </c:extLst>
        </c:ser>
        <c:ser>
          <c:idx val="4"/>
          <c:order val="4"/>
          <c:spPr>
            <a:solidFill>
              <a:srgbClr val="FFC000">
                <a:lumMod val="20000"/>
                <a:lumOff val="80000"/>
              </a:srgbClr>
            </a:solidFill>
            <a:ln>
              <a:solidFill>
                <a:srgbClr val="FFC000">
                  <a:lumMod val="75000"/>
                </a:srgbClr>
              </a:solidFill>
            </a:ln>
            <a:effectLst/>
          </c:spPr>
          <c:invertIfNegative val="0"/>
          <c:dPt>
            <c:idx val="0"/>
            <c:invertIfNegative val="0"/>
            <c:bubble3D val="0"/>
            <c:spPr>
              <a:noFill/>
              <a:ln>
                <a:solidFill>
                  <a:srgbClr val="FFC000">
                    <a:lumMod val="75000"/>
                  </a:srgbClr>
                </a:solidFill>
              </a:ln>
              <a:effectLst/>
            </c:spPr>
            <c:extLst>
              <c:ext xmlns:c16="http://schemas.microsoft.com/office/drawing/2014/chart" uri="{C3380CC4-5D6E-409C-BE32-E72D297353CC}">
                <c16:uniqueId val="{00000009-A4C8-4BA8-979B-4C61C482243C}"/>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Text!$Z$388</c:f>
              <c:numCache>
                <c:formatCode>General</c:formatCode>
                <c:ptCount val="1"/>
                <c:pt idx="0">
                  <c:v>0.5</c:v>
                </c:pt>
              </c:numCache>
            </c:numRef>
          </c:val>
          <c:extLst>
            <c:ext xmlns:c16="http://schemas.microsoft.com/office/drawing/2014/chart" uri="{C3380CC4-5D6E-409C-BE32-E72D297353CC}">
              <c16:uniqueId val="{0000000A-A4C8-4BA8-979B-4C61C482243C}"/>
            </c:ext>
          </c:extLst>
        </c:ser>
        <c:ser>
          <c:idx val="5"/>
          <c:order val="5"/>
          <c:spPr>
            <a:noFill/>
            <a:ln>
              <a:no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Text!$Z$389</c:f>
              <c:numCache>
                <c:formatCode>General</c:formatCode>
                <c:ptCount val="1"/>
                <c:pt idx="0">
                  <c:v>0.15</c:v>
                </c:pt>
              </c:numCache>
            </c:numRef>
          </c:val>
          <c:extLst>
            <c:ext xmlns:c16="http://schemas.microsoft.com/office/drawing/2014/chart" uri="{C3380CC4-5D6E-409C-BE32-E72D297353CC}">
              <c16:uniqueId val="{0000000B-A4C8-4BA8-979B-4C61C482243C}"/>
            </c:ext>
          </c:extLst>
        </c:ser>
        <c:ser>
          <c:idx val="6"/>
          <c:order val="6"/>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Text!$Z$390</c:f>
              <c:numCache>
                <c:formatCode>General</c:formatCode>
                <c:ptCount val="1"/>
                <c:pt idx="0">
                  <c:v>0.2</c:v>
                </c:pt>
              </c:numCache>
            </c:numRef>
          </c:val>
          <c:extLst>
            <c:ext xmlns:c16="http://schemas.microsoft.com/office/drawing/2014/chart" uri="{C3380CC4-5D6E-409C-BE32-E72D297353CC}">
              <c16:uniqueId val="{0000000C-A4C8-4BA8-979B-4C61C482243C}"/>
            </c:ext>
          </c:extLst>
        </c:ser>
        <c:ser>
          <c:idx val="7"/>
          <c:order val="7"/>
          <c:spPr>
            <a:no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Text!$Z$391</c:f>
              <c:numCache>
                <c:formatCode>General</c:formatCode>
                <c:ptCount val="1"/>
                <c:pt idx="0">
                  <c:v>0.15</c:v>
                </c:pt>
              </c:numCache>
            </c:numRef>
          </c:val>
          <c:extLst>
            <c:ext xmlns:c16="http://schemas.microsoft.com/office/drawing/2014/chart" uri="{C3380CC4-5D6E-409C-BE32-E72D297353CC}">
              <c16:uniqueId val="{0000000D-A4C8-4BA8-979B-4C61C482243C}"/>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chemeClr val="bg1">
                <a:lumMod val="85000"/>
                <a:alpha val="50000"/>
              </a:schemeClr>
            </a:solidFill>
            <a:ln w="25400">
              <a:noFill/>
            </a:ln>
            <a:effectLst/>
          </c:spPr>
          <c:dLbls>
            <c:delete val="1"/>
          </c:dLbls>
          <c:cat>
            <c:strRef>
              <c:f>Text!$X$394</c:f>
              <c:strCache>
                <c:ptCount val="1"/>
                <c:pt idx="0">
                  <c:v>100 %                </c:v>
                </c:pt>
              </c:strCache>
            </c:strRef>
          </c:cat>
          <c:val>
            <c:numRef>
              <c:f>(Text!$Y$394:$Y$395,Text!$Y$396:$Y$397,Text!$Y$398:$Y$399)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096-48B6-9E8E-66524969E7BC}"/>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sz="650" b="1" i="1" u="none" strike="noStrike" kern="1200" baseline="0">
                <a:ln>
                  <a:noFill/>
                </a:ln>
                <a:solidFill>
                  <a:schemeClr val="tx1">
                    <a:lumMod val="65000"/>
                    <a:lumOff val="35000"/>
                  </a:schemeClr>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l="2000" t="3000" r="-2000" b="3000"/>
      </a:stretch>
    </a:blipFill>
    <a:ln w="9525" cap="flat" cmpd="sng" algn="ctr">
      <a:noFill/>
      <a:round/>
    </a:ln>
    <a:effectLst/>
  </c:spPr>
  <c:txPr>
    <a:bodyPr/>
    <a:lstStyle/>
    <a:p>
      <a:pPr>
        <a:defRPr sz="550" b="1" i="1">
          <a:ln>
            <a:noFill/>
          </a:ln>
          <a:solidFill>
            <a:srgbClr val="5DC4E1"/>
          </a:solidFill>
        </a:defRPr>
      </a:pPr>
      <a:endParaRPr lang="de-DE"/>
    </a:p>
  </c:txPr>
  <c:printSettings>
    <c:headerFooter/>
    <c:pageMargins b="0.78740157499999996" l="0.7" r="0.7" t="0.78740157499999996" header="0.3" footer="0.3"/>
    <c:pageSetup/>
  </c:printSettings>
  <c:userShapes r:id="rId4"/>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43609415279069"/>
          <c:y val="0.22006754577364576"/>
          <c:w val="0.53024933992334677"/>
          <c:h val="0.60165633078684844"/>
        </c:manualLayout>
      </c:layout>
      <c:radarChart>
        <c:radarStyle val="filled"/>
        <c:varyColors val="0"/>
        <c:ser>
          <c:idx val="0"/>
          <c:order val="0"/>
          <c:spPr>
            <a:solidFill>
              <a:srgbClr val="D9D9D9">
                <a:alpha val="49804"/>
              </a:srgbClr>
            </a:solidFill>
            <a:ln w="25400">
              <a:noFill/>
            </a:ln>
            <a:effectLst/>
          </c:spPr>
          <c:dLbls>
            <c:delete val="1"/>
          </c:dLbls>
          <c:cat>
            <c:strRef>
              <c:f>Text!$X$394</c:f>
              <c:strCache>
                <c:ptCount val="1"/>
                <c:pt idx="0">
                  <c:v>100 %                </c:v>
                </c:pt>
              </c:strCache>
            </c:strRef>
          </c:cat>
          <c:val>
            <c:numRef>
              <c:f>(Text!$AE$393:$AE$396,Text!$AE$397:$AE$398,Text!$AE$399:$AE$401)</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18A1-4659-AA6B-249ABF5896EE}"/>
            </c:ext>
          </c:extLst>
        </c:ser>
        <c:dLbls>
          <c:showLegendKey val="0"/>
          <c:showVal val="1"/>
          <c:showCatName val="0"/>
          <c:showSerName val="0"/>
          <c:showPercent val="0"/>
          <c:showBubbleSize val="0"/>
        </c:dLbls>
        <c:axId val="1124657088"/>
        <c:axId val="1124652096"/>
      </c:radarChart>
      <c:catAx>
        <c:axId val="1124657088"/>
        <c:scaling>
          <c:orientation val="minMax"/>
        </c:scaling>
        <c:delete val="1"/>
        <c:axPos val="b"/>
        <c:numFmt formatCode="General" sourceLinked="0"/>
        <c:majorTickMark val="none"/>
        <c:minorTickMark val="none"/>
        <c:tickLblPos val="nextTo"/>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75000"/>
                </a:schemeClr>
              </a:solidFill>
              <a:round/>
            </a:ln>
            <a:effectLst/>
          </c:spPr>
        </c:majorGridlines>
        <c:numFmt formatCode=";;0\ %_ " sourceLinked="0"/>
        <c:majorTickMark val="out"/>
        <c:minorTickMark val="none"/>
        <c:tickLblPos val="nextTo"/>
        <c:spPr>
          <a:noFill/>
          <a:ln>
            <a:noFill/>
          </a:ln>
          <a:effectLst/>
        </c:spPr>
        <c:txPr>
          <a:bodyPr rot="0" spcFirstLastPara="1" vertOverflow="ellipsis" wrap="square" anchor="ctr" anchorCtr="1"/>
          <a:lstStyle/>
          <a:p>
            <a:pPr>
              <a:defRPr lang="en-US" sz="650" b="1" i="1" u="none" strike="noStrike" kern="1200" baseline="0">
                <a:ln>
                  <a:noFill/>
                </a:ln>
                <a:solidFill>
                  <a:sysClr val="windowText" lastClr="000000"/>
                </a:solidFill>
                <a:latin typeface="+mn-lt"/>
                <a:ea typeface="+mn-ea"/>
                <a:cs typeface="+mn-cs"/>
              </a:defRPr>
            </a:pPr>
            <a:endParaRPr lang="de-DE"/>
          </a:p>
        </c:txPr>
        <c:crossAx val="1124657088"/>
        <c:crosses val="autoZero"/>
        <c:crossBetween val="between"/>
        <c:majorUnit val="0.25"/>
        <c:minorUnit val="0.25"/>
      </c:valAx>
      <c:spPr>
        <a:noFill/>
        <a:ln>
          <a:noFill/>
        </a:ln>
        <a:effectLst/>
      </c:spPr>
    </c:plotArea>
    <c:plotVisOnly val="1"/>
    <c:dispBlanksAs val="gap"/>
    <c:showDLblsOverMax val="0"/>
  </c:chart>
  <c:spPr>
    <a:blipFill dpi="0" rotWithShape="1">
      <a:blip xmlns:r="http://schemas.openxmlformats.org/officeDocument/2006/relationships" r:embed="rId3"/>
      <a:srcRect/>
      <a:stretch>
        <a:fillRect l="1000" t="4000"/>
      </a:stretch>
    </a:blipFill>
    <a:ln w="9525" cap="flat" cmpd="sng" algn="ctr">
      <a:noFill/>
      <a:round/>
    </a:ln>
    <a:effectLst/>
  </c:spPr>
  <c:txPr>
    <a:bodyPr/>
    <a:lstStyle/>
    <a:p>
      <a:pPr>
        <a:defRPr lang="en-US" sz="550" b="1" i="1" u="none" strike="noStrike" kern="1200" baseline="0">
          <a:ln>
            <a:noFill/>
          </a:ln>
          <a:solidFill>
            <a:srgbClr val="5DC4E1"/>
          </a:solidFill>
          <a:latin typeface="+mn-lt"/>
          <a:ea typeface="+mn-ea"/>
          <a:cs typeface="+mn-cs"/>
        </a:defRPr>
      </a:pPr>
      <a:endParaRPr lang="de-DE"/>
    </a:p>
  </c:txPr>
  <c:printSettings>
    <c:headerFooter/>
    <c:pageMargins b="0.78740157499999996" l="0.7" r="0.7" t="0.78740157499999996" header="0.3" footer="0.3"/>
    <c:pageSetup/>
  </c:printSettings>
  <c:userShapes r:id="rId4"/>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dPt>
            <c:idx val="0"/>
            <c:invertIfNegative val="0"/>
            <c:bubble3D val="0"/>
            <c:spPr>
              <a:solidFill>
                <a:srgbClr val="F9DBDF"/>
              </a:solidFill>
              <a:ln>
                <a:solidFill>
                  <a:srgbClr val="E30613"/>
                </a:solidFill>
              </a:ln>
              <a:effectLst/>
            </c:spPr>
            <c:extLst>
              <c:ext xmlns:c16="http://schemas.microsoft.com/office/drawing/2014/chart" uri="{C3380CC4-5D6E-409C-BE32-E72D297353CC}">
                <c16:uniqueId val="{00000001-F709-4F30-83EF-9267E8F9B3AE}"/>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Text!$W$339</c:f>
              <c:numCache>
                <c:formatCode>0.00</c:formatCode>
                <c:ptCount val="1"/>
                <c:pt idx="0">
                  <c:v>0</c:v>
                </c:pt>
              </c:numCache>
            </c:numRef>
          </c:val>
          <c:extLst>
            <c:ext xmlns:c16="http://schemas.microsoft.com/office/drawing/2014/chart" uri="{C3380CC4-5D6E-409C-BE32-E72D297353CC}">
              <c16:uniqueId val="{00000002-F709-4F30-83EF-9267E8F9B3AE}"/>
            </c:ext>
          </c:extLst>
        </c:ser>
        <c:ser>
          <c:idx val="1"/>
          <c:order val="1"/>
          <c:spPr>
            <a:solidFill>
              <a:srgbClr val="FFD1D1"/>
            </a:solidFill>
            <a:ln>
              <a:solidFill>
                <a:srgbClr val="E30613"/>
              </a:solidFill>
            </a:ln>
            <a:effectLst/>
          </c:spPr>
          <c:invertIfNegative val="0"/>
          <c:dPt>
            <c:idx val="0"/>
            <c:invertIfNegative val="0"/>
            <c:bubble3D val="0"/>
            <c:spPr>
              <a:solidFill>
                <a:srgbClr val="F9DBDF"/>
              </a:solidFill>
              <a:ln>
                <a:solidFill>
                  <a:srgbClr val="E30613"/>
                </a:solidFill>
              </a:ln>
              <a:effectLst/>
            </c:spPr>
            <c:extLst>
              <c:ext xmlns:c16="http://schemas.microsoft.com/office/drawing/2014/chart" uri="{C3380CC4-5D6E-409C-BE32-E72D297353CC}">
                <c16:uniqueId val="{00000004-F709-4F30-83EF-9267E8F9B3AE}"/>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Text!$W$340</c:f>
              <c:numCache>
                <c:formatCode>0.00</c:formatCode>
                <c:ptCount val="1"/>
                <c:pt idx="0">
                  <c:v>0</c:v>
                </c:pt>
              </c:numCache>
            </c:numRef>
          </c:val>
          <c:extLst>
            <c:ext xmlns:c16="http://schemas.microsoft.com/office/drawing/2014/chart" uri="{C3380CC4-5D6E-409C-BE32-E72D297353CC}">
              <c16:uniqueId val="{00000005-F709-4F30-83EF-9267E8F9B3AE}"/>
            </c:ext>
          </c:extLst>
        </c:ser>
        <c:ser>
          <c:idx val="2"/>
          <c:order val="2"/>
          <c:spPr>
            <a:solidFill>
              <a:srgbClr val="F9DBD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Text!$W$341</c:f>
              <c:numCache>
                <c:formatCode>0.00</c:formatCode>
                <c:ptCount val="1"/>
                <c:pt idx="0">
                  <c:v>0</c:v>
                </c:pt>
              </c:numCache>
            </c:numRef>
          </c:val>
          <c:extLst>
            <c:ext xmlns:c16="http://schemas.microsoft.com/office/drawing/2014/chart" uri="{C3380CC4-5D6E-409C-BE32-E72D297353CC}">
              <c16:uniqueId val="{00000006-F709-4F30-83EF-9267E8F9B3AE}"/>
            </c:ext>
          </c:extLst>
        </c:ser>
        <c:ser>
          <c:idx val="3"/>
          <c:order val="3"/>
          <c:spPr>
            <a:solidFill>
              <a:srgbClr val="F9DBD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Text!$W$342</c:f>
              <c:numCache>
                <c:formatCode>0.00</c:formatCode>
                <c:ptCount val="1"/>
                <c:pt idx="0">
                  <c:v>0</c:v>
                </c:pt>
              </c:numCache>
            </c:numRef>
          </c:val>
          <c:extLst>
            <c:ext xmlns:c16="http://schemas.microsoft.com/office/drawing/2014/chart" uri="{C3380CC4-5D6E-409C-BE32-E72D297353CC}">
              <c16:uniqueId val="{00000007-F709-4F30-83EF-9267E8F9B3AE}"/>
            </c:ext>
          </c:extLst>
        </c:ser>
        <c:ser>
          <c:idx val="4"/>
          <c:order val="4"/>
          <c:spPr>
            <a:solidFill>
              <a:sysClr val="window" lastClr="FFFFFF"/>
            </a:solidFill>
            <a:ln>
              <a:solidFill>
                <a:srgbClr val="E30613"/>
              </a:solidFill>
            </a:ln>
            <a:effectLst/>
          </c:spPr>
          <c:invertIfNegative val="0"/>
          <c:dPt>
            <c:idx val="0"/>
            <c:invertIfNegative val="0"/>
            <c:bubble3D val="0"/>
            <c:spPr>
              <a:noFill/>
              <a:ln>
                <a:solidFill>
                  <a:srgbClr val="E30613"/>
                </a:solidFill>
              </a:ln>
              <a:effectLst/>
            </c:spPr>
            <c:extLst>
              <c:ext xmlns:c16="http://schemas.microsoft.com/office/drawing/2014/chart" uri="{C3380CC4-5D6E-409C-BE32-E72D297353CC}">
                <c16:uniqueId val="{00000009-F709-4F30-83EF-9267E8F9B3AE}"/>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Text!$W$343</c:f>
              <c:numCache>
                <c:formatCode>0.00</c:formatCode>
                <c:ptCount val="1"/>
                <c:pt idx="0">
                  <c:v>0.5</c:v>
                </c:pt>
              </c:numCache>
            </c:numRef>
          </c:val>
          <c:extLst>
            <c:ext xmlns:c16="http://schemas.microsoft.com/office/drawing/2014/chart" uri="{C3380CC4-5D6E-409C-BE32-E72D297353CC}">
              <c16:uniqueId val="{0000000A-F709-4F30-83EF-9267E8F9B3AE}"/>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Text!$W$344</c:f>
              <c:numCache>
                <c:formatCode>0.00</c:formatCode>
                <c:ptCount val="1"/>
                <c:pt idx="0">
                  <c:v>0.15</c:v>
                </c:pt>
              </c:numCache>
            </c:numRef>
          </c:val>
          <c:extLst>
            <c:ext xmlns:c16="http://schemas.microsoft.com/office/drawing/2014/chart" uri="{C3380CC4-5D6E-409C-BE32-E72D297353CC}">
              <c16:uniqueId val="{0000000B-F709-4F30-83EF-9267E8F9B3AE}"/>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Text!$W$345</c:f>
              <c:numCache>
                <c:formatCode>0.00</c:formatCode>
                <c:ptCount val="1"/>
                <c:pt idx="0">
                  <c:v>0.2</c:v>
                </c:pt>
              </c:numCache>
            </c:numRef>
          </c:val>
          <c:extLst>
            <c:ext xmlns:c16="http://schemas.microsoft.com/office/drawing/2014/chart" uri="{C3380CC4-5D6E-409C-BE32-E72D297353CC}">
              <c16:uniqueId val="{0000000C-F709-4F30-83EF-9267E8F9B3AE}"/>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Text!$W$346</c:f>
              <c:numCache>
                <c:formatCode>0.00</c:formatCode>
                <c:ptCount val="1"/>
                <c:pt idx="0">
                  <c:v>0.15</c:v>
                </c:pt>
              </c:numCache>
            </c:numRef>
          </c:val>
          <c:extLst>
            <c:ext xmlns:c16="http://schemas.microsoft.com/office/drawing/2014/chart" uri="{C3380CC4-5D6E-409C-BE32-E72D297353CC}">
              <c16:uniqueId val="{0000000D-F709-4F30-83EF-9267E8F9B3A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691719868696786"/>
          <c:y val="0.19306339519756885"/>
          <c:w val="0.55742113008904837"/>
          <c:h val="0.74110828186245392"/>
        </c:manualLayout>
      </c:layout>
      <c:radarChart>
        <c:radarStyle val="filled"/>
        <c:varyColors val="0"/>
        <c:ser>
          <c:idx val="0"/>
          <c:order val="0"/>
          <c:spPr>
            <a:noFill/>
            <a:ln>
              <a:solidFill>
                <a:schemeClr val="bg1">
                  <a:lumMod val="50000"/>
                </a:schemeClr>
              </a:solidFill>
            </a:ln>
            <a:effectLst/>
          </c:spPr>
          <c:dLbls>
            <c:delete val="1"/>
          </c:dLbls>
          <c:cat>
            <c:numRef>
              <c:f>Text!$L$401:$L$404</c:f>
              <c:numCache>
                <c:formatCode>General</c:formatCode>
                <c:ptCount val="4"/>
              </c:numCache>
            </c:numRef>
          </c:cat>
          <c:val>
            <c:numRef>
              <c:f>(Text!$M$394:$M$397,Text!$M$398:$M$400,Text!$M$401:$M$404)</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9843-42E8-B895-5970B2B9B22F}"/>
            </c:ext>
          </c:extLst>
        </c:ser>
        <c:dLbls>
          <c:showLegendKey val="0"/>
          <c:showVal val="1"/>
          <c:showCatName val="0"/>
          <c:showSerName val="0"/>
          <c:showPercent val="0"/>
          <c:showBubbleSize val="0"/>
        </c:dLbls>
        <c:axId val="1124657088"/>
        <c:axId val="1124652096"/>
      </c:radarChart>
      <c:catAx>
        <c:axId val="1124657088"/>
        <c:scaling>
          <c:orientation val="minMax"/>
        </c:scaling>
        <c:delete val="0"/>
        <c:axPos val="b"/>
        <c:numFmt formatCode="General" sourceLinked="1"/>
        <c:majorTickMark val="none"/>
        <c:minorTickMark val="none"/>
        <c:tickLblPos val="nextTo"/>
        <c:spPr>
          <a:noFill/>
          <a:ln w="9525" cap="flat" cmpd="sng" algn="ctr">
            <a:solidFill>
              <a:srgbClr val="C00000"/>
            </a:solidFill>
            <a:round/>
          </a:ln>
          <a:effectLst/>
        </c:spPr>
        <c:txPr>
          <a:bodyPr rot="0" spcFirstLastPara="1" vertOverflow="ellipsis" wrap="square" anchor="ctr" anchorCtr="1"/>
          <a:lstStyle/>
          <a:p>
            <a:pPr>
              <a:defRPr sz="900" b="0" i="0" u="none" strike="noStrike" kern="1200" baseline="0">
                <a:noFill/>
                <a:latin typeface="+mn-lt"/>
                <a:ea typeface="+mn-ea"/>
                <a:cs typeface="+mn-cs"/>
              </a:defRPr>
            </a:pPr>
            <a:endParaRPr lang="de-DE"/>
          </a:p>
        </c:txPr>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1124657088"/>
        <c:crosses val="autoZero"/>
        <c:crossBetween val="between"/>
        <c:majorUnit val="0.25"/>
      </c:valAx>
      <c:spPr>
        <a:noFill/>
        <a:ln>
          <a:noFill/>
        </a:ln>
        <a:effectLst/>
      </c:spPr>
    </c:plotArea>
    <c:plotVisOnly val="1"/>
    <c:dispBlanksAs val="gap"/>
    <c:showDLblsOverMax val="0"/>
  </c:chart>
  <c:spPr>
    <a:noFill/>
    <a:ln w="9525" cap="flat" cmpd="sng" algn="ctr">
      <a:noFill/>
      <a:round/>
    </a:ln>
    <a:effectLst/>
  </c:spPr>
  <c:txPr>
    <a:bodyPr/>
    <a:lstStyle/>
    <a:p>
      <a:pPr>
        <a:defRPr>
          <a:noFill/>
        </a:defRPr>
      </a:pPr>
      <a:endParaRPr lang="de-DE"/>
    </a:p>
  </c:txPr>
  <c:printSettings>
    <c:headerFooter/>
    <c:pageMargins b="0.78740157499999996" l="0.7" r="0.7" t="0.78740157499999996" header="0.3" footer="0.3"/>
    <c:pageSetup/>
  </c:printSettings>
  <c:userShapes r:id="rId3"/>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Text!$K$362:$N$362</c15:sqref>
                  </c15:fullRef>
                </c:ext>
              </c:extLst>
              <c:f>Text!$K$362:$L$362</c:f>
              <c:numCache>
                <c:formatCode>0.00</c:formatCode>
                <c:ptCount val="2"/>
                <c:pt idx="0">
                  <c:v>0</c:v>
                </c:pt>
                <c:pt idx="1">
                  <c:v>0</c:v>
                </c:pt>
              </c:numCache>
            </c:numRef>
          </c:val>
          <c:extLst>
            <c:ext xmlns:c16="http://schemas.microsoft.com/office/drawing/2014/chart" uri="{C3380CC4-5D6E-409C-BE32-E72D297353CC}">
              <c16:uniqueId val="{00000000-CAA9-45CA-814E-006F79469A40}"/>
            </c:ext>
          </c:extLst>
        </c:ser>
        <c:ser>
          <c:idx val="1"/>
          <c:order val="1"/>
          <c:spPr>
            <a:solidFill>
              <a:srgbClr val="D1E3B0"/>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Text!$K$363:$N$363</c15:sqref>
                  </c15:fullRef>
                </c:ext>
              </c:extLst>
              <c:f>Text!$K$363:$L$363</c:f>
              <c:numCache>
                <c:formatCode>0.00</c:formatCode>
                <c:ptCount val="2"/>
                <c:pt idx="0">
                  <c:v>0</c:v>
                </c:pt>
                <c:pt idx="1">
                  <c:v>0</c:v>
                </c:pt>
              </c:numCache>
            </c:numRef>
          </c:val>
          <c:extLst>
            <c:ext xmlns:c16="http://schemas.microsoft.com/office/drawing/2014/chart" uri="{C3380CC4-5D6E-409C-BE32-E72D297353CC}">
              <c16:uniqueId val="{00000001-CAA9-45CA-814E-006F79469A40}"/>
            </c:ext>
          </c:extLst>
        </c:ser>
        <c:ser>
          <c:idx val="2"/>
          <c:order val="2"/>
          <c:spPr>
            <a:solidFill>
              <a:srgbClr val="D1E3B0"/>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Text!$K$364:$N$364</c15:sqref>
                  </c15:fullRef>
                </c:ext>
              </c:extLst>
              <c:f>Text!$K$364:$L$364</c:f>
              <c:numCache>
                <c:formatCode>0.00</c:formatCode>
                <c:ptCount val="2"/>
                <c:pt idx="0">
                  <c:v>0</c:v>
                </c:pt>
                <c:pt idx="1">
                  <c:v>0</c:v>
                </c:pt>
              </c:numCache>
            </c:numRef>
          </c:val>
          <c:extLst>
            <c:ext xmlns:c16="http://schemas.microsoft.com/office/drawing/2014/chart" uri="{C3380CC4-5D6E-409C-BE32-E72D297353CC}">
              <c16:uniqueId val="{00000002-CAA9-45CA-814E-006F79469A40}"/>
            </c:ext>
          </c:extLst>
        </c:ser>
        <c:ser>
          <c:idx val="3"/>
          <c:order val="3"/>
          <c:spPr>
            <a:solidFill>
              <a:srgbClr val="D1E3B0"/>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Text!$K$365:$N$365</c15:sqref>
                  </c15:fullRef>
                </c:ext>
              </c:extLst>
              <c:f>Text!$K$365:$L$365</c:f>
              <c:numCache>
                <c:formatCode>0.00</c:formatCode>
                <c:ptCount val="2"/>
                <c:pt idx="0">
                  <c:v>0</c:v>
                </c:pt>
                <c:pt idx="1">
                  <c:v>0</c:v>
                </c:pt>
              </c:numCache>
            </c:numRef>
          </c:val>
          <c:extLst>
            <c:ext xmlns:c16="http://schemas.microsoft.com/office/drawing/2014/chart" uri="{C3380CC4-5D6E-409C-BE32-E72D297353CC}">
              <c16:uniqueId val="{00000003-CAA9-45CA-814E-006F79469A40}"/>
            </c:ext>
          </c:extLst>
        </c:ser>
        <c:ser>
          <c:idx val="4"/>
          <c:order val="4"/>
          <c:spPr>
            <a:solidFill>
              <a:schemeClr val="bg1"/>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Text!$K$366:$N$366</c15:sqref>
                  </c15:fullRef>
                </c:ext>
              </c:extLst>
              <c:f>Text!$K$366:$L$366</c:f>
              <c:numCache>
                <c:formatCode>0.00</c:formatCode>
                <c:ptCount val="2"/>
                <c:pt idx="0">
                  <c:v>0.5</c:v>
                </c:pt>
                <c:pt idx="1">
                  <c:v>0.5</c:v>
                </c:pt>
              </c:numCache>
            </c:numRef>
          </c:val>
          <c:extLst>
            <c:ext xmlns:c16="http://schemas.microsoft.com/office/drawing/2014/chart" uri="{C3380CC4-5D6E-409C-BE32-E72D297353CC}">
              <c16:uniqueId val="{00000004-CAA9-45CA-814E-006F79469A40}"/>
            </c:ext>
          </c:extLst>
        </c:ser>
        <c:ser>
          <c:idx val="5"/>
          <c:order val="5"/>
          <c:spPr>
            <a:solidFill>
              <a:schemeClr val="bg1"/>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Text!$K$367:$N$367</c15:sqref>
                  </c15:fullRef>
                </c:ext>
              </c:extLst>
              <c:f>Text!$K$367:$L$367</c:f>
              <c:numCache>
                <c:formatCode>0.00</c:formatCode>
                <c:ptCount val="2"/>
                <c:pt idx="0">
                  <c:v>0.15</c:v>
                </c:pt>
                <c:pt idx="1">
                  <c:v>0.15</c:v>
                </c:pt>
              </c:numCache>
            </c:numRef>
          </c:val>
          <c:extLst>
            <c:ext xmlns:c16="http://schemas.microsoft.com/office/drawing/2014/chart" uri="{C3380CC4-5D6E-409C-BE32-E72D297353CC}">
              <c16:uniqueId val="{00000005-CAA9-45CA-814E-006F79469A40}"/>
            </c:ext>
          </c:extLst>
        </c:ser>
        <c:ser>
          <c:idx val="6"/>
          <c:order val="6"/>
          <c:spPr>
            <a:solidFill>
              <a:schemeClr val="bg1"/>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Text!$K$368:$N$368</c15:sqref>
                  </c15:fullRef>
                </c:ext>
              </c:extLst>
              <c:f>Text!$K$368:$L$368</c:f>
              <c:numCache>
                <c:formatCode>0.00</c:formatCode>
                <c:ptCount val="2"/>
                <c:pt idx="0">
                  <c:v>0.2</c:v>
                </c:pt>
                <c:pt idx="1">
                  <c:v>0.2</c:v>
                </c:pt>
              </c:numCache>
            </c:numRef>
          </c:val>
          <c:extLst>
            <c:ext xmlns:c16="http://schemas.microsoft.com/office/drawing/2014/chart" uri="{C3380CC4-5D6E-409C-BE32-E72D297353CC}">
              <c16:uniqueId val="{00000006-CAA9-45CA-814E-006F79469A40}"/>
            </c:ext>
          </c:extLst>
        </c:ser>
        <c:ser>
          <c:idx val="7"/>
          <c:order val="7"/>
          <c:spPr>
            <a:solidFill>
              <a:schemeClr val="bg1"/>
            </a:solidFill>
            <a:ln>
              <a:solidFill>
                <a:srgbClr val="76B729"/>
              </a:solidFill>
            </a:ln>
            <a:effectLst/>
          </c:spPr>
          <c:invertIfNegative val="0"/>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Text!$K$369:$N$369</c15:sqref>
                  </c15:fullRef>
                </c:ext>
              </c:extLst>
              <c:f>Text!$K$369:$L$369</c:f>
              <c:numCache>
                <c:formatCode>0.00</c:formatCode>
                <c:ptCount val="2"/>
                <c:pt idx="0">
                  <c:v>0.15</c:v>
                </c:pt>
                <c:pt idx="1">
                  <c:v>0.15</c:v>
                </c:pt>
              </c:numCache>
            </c:numRef>
          </c:val>
          <c:extLst>
            <c:ext xmlns:c16="http://schemas.microsoft.com/office/drawing/2014/chart" uri="{C3380CC4-5D6E-409C-BE32-E72D297353CC}">
              <c16:uniqueId val="{00000007-CAA9-45CA-814E-006F79469A4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Text!$K$339:$N$339</c15:sqref>
                  </c15:fullRef>
                </c:ext>
              </c:extLst>
              <c:f>Text!$K$339:$M$339</c:f>
              <c:numCache>
                <c:formatCode>0.00</c:formatCode>
                <c:ptCount val="3"/>
                <c:pt idx="0">
                  <c:v>0</c:v>
                </c:pt>
                <c:pt idx="1">
                  <c:v>0</c:v>
                </c:pt>
                <c:pt idx="2">
                  <c:v>0</c:v>
                </c:pt>
              </c:numCache>
            </c:numRef>
          </c:val>
          <c:extLst>
            <c:ext xmlns:c15="http://schemas.microsoft.com/office/drawing/2012/chart" uri="{02D57815-91ED-43cb-92C2-25804820EDAC}">
              <c15:categoryFilterExceptions>
                <c15:categoryFilterException>
                  <c15:sqref>Text!$N$339</c15:sqref>
                  <c15:spPr xmlns:c15="http://schemas.microsoft.com/office/drawing/2012/chart">
                    <a:solidFill>
                      <a:srgbClr val="FFD1D1"/>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0-C47B-4343-87C8-8244576EA510}"/>
            </c:ext>
          </c:extLst>
        </c:ser>
        <c:ser>
          <c:idx val="1"/>
          <c:order val="1"/>
          <c:spPr>
            <a:solidFill>
              <a:srgbClr val="FFD1D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Text!$K$340:$N$340</c15:sqref>
                  </c15:fullRef>
                </c:ext>
              </c:extLst>
              <c:f>Text!$K$340:$M$340</c:f>
              <c:numCache>
                <c:formatCode>0.00</c:formatCode>
                <c:ptCount val="3"/>
                <c:pt idx="0">
                  <c:v>0</c:v>
                </c:pt>
                <c:pt idx="1">
                  <c:v>0</c:v>
                </c:pt>
                <c:pt idx="2">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Text!$K$341:$N$341</c15:sqref>
                  </c15:fullRef>
                </c:ext>
              </c:extLst>
              <c:f>Text!$K$341:$M$341</c:f>
              <c:numCache>
                <c:formatCode>0.00</c:formatCode>
                <c:ptCount val="3"/>
                <c:pt idx="0">
                  <c:v>0</c:v>
                </c:pt>
                <c:pt idx="1">
                  <c:v>0</c:v>
                </c:pt>
                <c:pt idx="2">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Text!$K$342:$N$342</c15:sqref>
                  </c15:fullRef>
                </c:ext>
              </c:extLst>
              <c:f>Text!$K$342:$M$342</c:f>
              <c:numCache>
                <c:formatCode>0.00</c:formatCode>
                <c:ptCount val="3"/>
                <c:pt idx="0">
                  <c:v>0</c:v>
                </c:pt>
                <c:pt idx="1">
                  <c:v>0</c:v>
                </c:pt>
                <c:pt idx="2">
                  <c:v>0</c:v>
                </c:pt>
              </c:numCache>
            </c:numRef>
          </c:val>
          <c:extLst>
            <c:ext xmlns:c16="http://schemas.microsoft.com/office/drawing/2014/chart" uri="{C3380CC4-5D6E-409C-BE32-E72D297353CC}">
              <c16:uniqueId val="{00000003-C47B-4343-87C8-8244576EA510}"/>
            </c:ext>
          </c:extLst>
        </c:ser>
        <c:ser>
          <c:idx val="4"/>
          <c:order val="4"/>
          <c:spPr>
            <a:solidFill>
              <a:schemeClr val="bg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Text!$K$343:$N$343</c15:sqref>
                  </c15:fullRef>
                </c:ext>
              </c:extLst>
              <c:f>Text!$K$343:$M$343</c:f>
              <c:numCache>
                <c:formatCode>0.00</c:formatCode>
                <c:ptCount val="3"/>
                <c:pt idx="0">
                  <c:v>0.5</c:v>
                </c:pt>
                <c:pt idx="1">
                  <c:v>0.5</c:v>
                </c:pt>
                <c:pt idx="2">
                  <c:v>0.5</c:v>
                </c:pt>
              </c:numCache>
            </c:numRef>
          </c:val>
          <c:extLst>
            <c:ext xmlns:c16="http://schemas.microsoft.com/office/drawing/2014/chart" uri="{C3380CC4-5D6E-409C-BE32-E72D297353CC}">
              <c16:uniqueId val="{00000004-C47B-4343-87C8-8244576EA510}"/>
            </c:ext>
          </c:extLst>
        </c:ser>
        <c:ser>
          <c:idx val="5"/>
          <c:order val="5"/>
          <c:spPr>
            <a:solidFill>
              <a:schemeClr val="bg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Text!$K$344:$N$344</c15:sqref>
                  </c15:fullRef>
                </c:ext>
              </c:extLst>
              <c:f>Text!$K$344:$M$344</c:f>
              <c:numCache>
                <c:formatCode>0.00</c:formatCode>
                <c:ptCount val="3"/>
                <c:pt idx="0">
                  <c:v>0.15</c:v>
                </c:pt>
                <c:pt idx="1">
                  <c:v>0.15</c:v>
                </c:pt>
                <c:pt idx="2">
                  <c:v>0.15</c:v>
                </c:pt>
              </c:numCache>
            </c:numRef>
          </c:val>
          <c:extLst>
            <c:ext xmlns:c16="http://schemas.microsoft.com/office/drawing/2014/chart" uri="{C3380CC4-5D6E-409C-BE32-E72D297353CC}">
              <c16:uniqueId val="{00000005-C47B-4343-87C8-8244576EA510}"/>
            </c:ext>
          </c:extLst>
        </c:ser>
        <c:ser>
          <c:idx val="6"/>
          <c:order val="6"/>
          <c:spPr>
            <a:solidFill>
              <a:schemeClr val="bg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Text!$K$345:$N$345</c15:sqref>
                  </c15:fullRef>
                </c:ext>
              </c:extLst>
              <c:f>Text!$K$345:$M$345</c:f>
              <c:numCache>
                <c:formatCode>0.00</c:formatCode>
                <c:ptCount val="3"/>
                <c:pt idx="0">
                  <c:v>0.2</c:v>
                </c:pt>
                <c:pt idx="1">
                  <c:v>0.2</c:v>
                </c:pt>
                <c:pt idx="2">
                  <c:v>0.2</c:v>
                </c:pt>
              </c:numCache>
            </c:numRef>
          </c:val>
          <c:extLst>
            <c:ext xmlns:c16="http://schemas.microsoft.com/office/drawing/2014/chart" uri="{C3380CC4-5D6E-409C-BE32-E72D297353CC}">
              <c16:uniqueId val="{00000006-C47B-4343-87C8-8244576EA510}"/>
            </c:ext>
          </c:extLst>
        </c:ser>
        <c:ser>
          <c:idx val="7"/>
          <c:order val="7"/>
          <c:spPr>
            <a:solidFill>
              <a:schemeClr val="bg1"/>
            </a:solidFill>
            <a:ln>
              <a:solidFill>
                <a:srgbClr val="E30613"/>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Text!$K$346:$N$346</c15:sqref>
                  </c15:fullRef>
                </c:ext>
              </c:extLst>
              <c:f>Text!$K$346:$M$346</c:f>
              <c:numCache>
                <c:formatCode>0.00</c:formatCode>
                <c:ptCount val="3"/>
                <c:pt idx="0">
                  <c:v>0.15</c:v>
                </c:pt>
                <c:pt idx="1">
                  <c:v>0.15</c:v>
                </c:pt>
                <c:pt idx="2">
                  <c:v>0.15</c:v>
                </c:pt>
              </c:numCache>
            </c:numRef>
          </c:val>
          <c:extLst>
            <c:ext xmlns:c16="http://schemas.microsoft.com/office/drawing/2014/chart" uri="{C3380CC4-5D6E-409C-BE32-E72D297353CC}">
              <c16:uniqueId val="{00000007-C47B-4343-87C8-8244576EA51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29CA4"/>
            </a:solidFill>
            <a:ln>
              <a:solidFill>
                <a:srgbClr val="E30613"/>
              </a:solidFill>
            </a:ln>
            <a:effectLst/>
          </c:spPr>
          <c:invertIfNegative val="0"/>
          <c:val>
            <c:numRef>
              <c:f>Text!$K$384</c:f>
              <c:numCache>
                <c:formatCode>General</c:formatCode>
                <c:ptCount val="1"/>
                <c:pt idx="0">
                  <c:v>0</c:v>
                </c:pt>
              </c:numCache>
            </c:numRef>
          </c:val>
          <c:extLst>
            <c:ext xmlns:c16="http://schemas.microsoft.com/office/drawing/2014/chart" uri="{C3380CC4-5D6E-409C-BE32-E72D297353CC}">
              <c16:uniqueId val="{00000000-4F85-45BE-9B4E-F67E1AD21C50}"/>
            </c:ext>
          </c:extLst>
        </c:ser>
        <c:ser>
          <c:idx val="1"/>
          <c:order val="1"/>
          <c:spPr>
            <a:solidFill>
              <a:srgbClr val="F29CA4"/>
            </a:solidFill>
            <a:ln>
              <a:solidFill>
                <a:srgbClr val="E30613"/>
              </a:solidFill>
            </a:ln>
            <a:effectLst/>
          </c:spPr>
          <c:invertIfNegative val="0"/>
          <c:val>
            <c:numRef>
              <c:f>Text!$K$385</c:f>
              <c:numCache>
                <c:formatCode>General</c:formatCode>
                <c:ptCount val="1"/>
                <c:pt idx="0">
                  <c:v>0</c:v>
                </c:pt>
              </c:numCache>
            </c:numRef>
          </c:val>
          <c:extLst>
            <c:ext xmlns:c16="http://schemas.microsoft.com/office/drawing/2014/chart" uri="{C3380CC4-5D6E-409C-BE32-E72D297353CC}">
              <c16:uniqueId val="{00000001-4F85-45BE-9B4E-F67E1AD21C50}"/>
            </c:ext>
          </c:extLst>
        </c:ser>
        <c:ser>
          <c:idx val="2"/>
          <c:order val="2"/>
          <c:spPr>
            <a:solidFill>
              <a:srgbClr val="F29CA4"/>
            </a:solidFill>
            <a:ln>
              <a:solidFill>
                <a:srgbClr val="E30613"/>
              </a:solidFill>
            </a:ln>
            <a:effectLst/>
          </c:spPr>
          <c:invertIfNegative val="0"/>
          <c:val>
            <c:numRef>
              <c:f>Text!$K$386</c:f>
              <c:numCache>
                <c:formatCode>General</c:formatCode>
                <c:ptCount val="1"/>
                <c:pt idx="0">
                  <c:v>0</c:v>
                </c:pt>
              </c:numCache>
            </c:numRef>
          </c:val>
          <c:extLst>
            <c:ext xmlns:c16="http://schemas.microsoft.com/office/drawing/2014/chart" uri="{C3380CC4-5D6E-409C-BE32-E72D297353CC}">
              <c16:uniqueId val="{00000002-4F85-45BE-9B4E-F67E1AD21C50}"/>
            </c:ext>
          </c:extLst>
        </c:ser>
        <c:ser>
          <c:idx val="3"/>
          <c:order val="3"/>
          <c:spPr>
            <a:solidFill>
              <a:srgbClr val="F29CA4"/>
            </a:solidFill>
            <a:ln>
              <a:solidFill>
                <a:srgbClr val="E30613"/>
              </a:solidFill>
            </a:ln>
            <a:effectLst/>
          </c:spPr>
          <c:invertIfNegative val="0"/>
          <c:val>
            <c:numRef>
              <c:f>Text!$K$387</c:f>
              <c:numCache>
                <c:formatCode>General</c:formatCode>
                <c:ptCount val="1"/>
                <c:pt idx="0">
                  <c:v>0</c:v>
                </c:pt>
              </c:numCache>
            </c:numRef>
          </c:val>
          <c:extLst>
            <c:ext xmlns:c16="http://schemas.microsoft.com/office/drawing/2014/chart" uri="{C3380CC4-5D6E-409C-BE32-E72D297353CC}">
              <c16:uniqueId val="{00000003-4F85-45BE-9B4E-F67E1AD21C50}"/>
            </c:ext>
          </c:extLst>
        </c:ser>
        <c:ser>
          <c:idx val="4"/>
          <c:order val="4"/>
          <c:spPr>
            <a:solidFill>
              <a:schemeClr val="bg1"/>
            </a:solidFill>
            <a:ln>
              <a:solidFill>
                <a:srgbClr val="E30613"/>
              </a:solidFill>
            </a:ln>
            <a:effectLst/>
          </c:spPr>
          <c:invertIfNegative val="0"/>
          <c:val>
            <c:numRef>
              <c:f>Text!$K$388</c:f>
              <c:numCache>
                <c:formatCode>General</c:formatCode>
                <c:ptCount val="1"/>
                <c:pt idx="0">
                  <c:v>0.5</c:v>
                </c:pt>
              </c:numCache>
            </c:numRef>
          </c:val>
          <c:extLst>
            <c:ext xmlns:c16="http://schemas.microsoft.com/office/drawing/2014/chart" uri="{C3380CC4-5D6E-409C-BE32-E72D297353CC}">
              <c16:uniqueId val="{00000004-4F85-45BE-9B4E-F67E1AD21C50}"/>
            </c:ext>
          </c:extLst>
        </c:ser>
        <c:ser>
          <c:idx val="5"/>
          <c:order val="5"/>
          <c:spPr>
            <a:solidFill>
              <a:schemeClr val="bg1"/>
            </a:solidFill>
            <a:ln>
              <a:solidFill>
                <a:srgbClr val="E30613"/>
              </a:solidFill>
            </a:ln>
            <a:effectLst/>
          </c:spPr>
          <c:invertIfNegative val="0"/>
          <c:val>
            <c:numRef>
              <c:f>Text!$K$389</c:f>
              <c:numCache>
                <c:formatCode>General</c:formatCode>
                <c:ptCount val="1"/>
                <c:pt idx="0">
                  <c:v>0.15</c:v>
                </c:pt>
              </c:numCache>
            </c:numRef>
          </c:val>
          <c:extLst>
            <c:ext xmlns:c16="http://schemas.microsoft.com/office/drawing/2014/chart" uri="{C3380CC4-5D6E-409C-BE32-E72D297353CC}">
              <c16:uniqueId val="{00000005-4F85-45BE-9B4E-F67E1AD21C50}"/>
            </c:ext>
          </c:extLst>
        </c:ser>
        <c:ser>
          <c:idx val="6"/>
          <c:order val="6"/>
          <c:spPr>
            <a:solidFill>
              <a:schemeClr val="bg1"/>
            </a:solidFill>
            <a:ln>
              <a:solidFill>
                <a:srgbClr val="E30613"/>
              </a:solidFill>
            </a:ln>
            <a:effectLst/>
          </c:spPr>
          <c:invertIfNegative val="0"/>
          <c:val>
            <c:numRef>
              <c:f>Text!$K$390</c:f>
              <c:numCache>
                <c:formatCode>General</c:formatCode>
                <c:ptCount val="1"/>
                <c:pt idx="0">
                  <c:v>0.2</c:v>
                </c:pt>
              </c:numCache>
            </c:numRef>
          </c:val>
          <c:extLst>
            <c:ext xmlns:c16="http://schemas.microsoft.com/office/drawing/2014/chart" uri="{C3380CC4-5D6E-409C-BE32-E72D297353CC}">
              <c16:uniqueId val="{00000008-4F85-45BE-9B4E-F67E1AD21C50}"/>
            </c:ext>
          </c:extLst>
        </c:ser>
        <c:ser>
          <c:idx val="7"/>
          <c:order val="7"/>
          <c:spPr>
            <a:solidFill>
              <a:schemeClr val="bg1"/>
            </a:solidFill>
            <a:ln>
              <a:solidFill>
                <a:srgbClr val="E30613"/>
              </a:solidFill>
            </a:ln>
            <a:effectLst/>
          </c:spPr>
          <c:invertIfNegative val="0"/>
          <c:val>
            <c:numRef>
              <c:f>Text!$K$391</c:f>
              <c:numCache>
                <c:formatCode>General</c:formatCode>
                <c:ptCount val="1"/>
                <c:pt idx="0">
                  <c:v>0.15</c:v>
                </c:pt>
              </c:numCache>
            </c:numRef>
          </c:val>
          <c:extLst>
            <c:ext xmlns:c16="http://schemas.microsoft.com/office/drawing/2014/chart" uri="{C3380CC4-5D6E-409C-BE32-E72D297353CC}">
              <c16:uniqueId val="{00000006-4F85-45BE-9B4E-F67E1AD21C5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94D0E8"/>
            </a:solidFill>
            <a:ln>
              <a:solidFill>
                <a:srgbClr val="36B7DA"/>
              </a:solidFill>
            </a:ln>
            <a:effectLst/>
          </c:spPr>
          <c:invertIfNegative val="0"/>
          <c:val>
            <c:numRef>
              <c:f>Text!$L$384</c:f>
              <c:numCache>
                <c:formatCode>General</c:formatCode>
                <c:ptCount val="1"/>
                <c:pt idx="0">
                  <c:v>0</c:v>
                </c:pt>
              </c:numCache>
            </c:numRef>
          </c:val>
          <c:extLst>
            <c:ext xmlns:c16="http://schemas.microsoft.com/office/drawing/2014/chart" uri="{C3380CC4-5D6E-409C-BE32-E72D297353CC}">
              <c16:uniqueId val="{00000000-5D21-4339-BF69-33888A5EE8C7}"/>
            </c:ext>
          </c:extLst>
        </c:ser>
        <c:ser>
          <c:idx val="1"/>
          <c:order val="1"/>
          <c:spPr>
            <a:solidFill>
              <a:srgbClr val="94D0E8"/>
            </a:solidFill>
            <a:ln>
              <a:solidFill>
                <a:srgbClr val="36B7DA"/>
              </a:solidFill>
            </a:ln>
            <a:effectLst/>
          </c:spPr>
          <c:invertIfNegative val="0"/>
          <c:val>
            <c:numRef>
              <c:f>Text!$L$385</c:f>
              <c:numCache>
                <c:formatCode>General</c:formatCode>
                <c:ptCount val="1"/>
                <c:pt idx="0">
                  <c:v>0</c:v>
                </c:pt>
              </c:numCache>
            </c:numRef>
          </c:val>
          <c:extLst>
            <c:ext xmlns:c16="http://schemas.microsoft.com/office/drawing/2014/chart" uri="{C3380CC4-5D6E-409C-BE32-E72D297353CC}">
              <c16:uniqueId val="{00000001-5D21-4339-BF69-33888A5EE8C7}"/>
            </c:ext>
          </c:extLst>
        </c:ser>
        <c:ser>
          <c:idx val="2"/>
          <c:order val="2"/>
          <c:spPr>
            <a:solidFill>
              <a:srgbClr val="94D0E8"/>
            </a:solidFill>
            <a:ln>
              <a:solidFill>
                <a:srgbClr val="36B7DA"/>
              </a:solidFill>
            </a:ln>
            <a:effectLst/>
          </c:spPr>
          <c:invertIfNegative val="0"/>
          <c:val>
            <c:numRef>
              <c:f>Text!$L$386</c:f>
              <c:numCache>
                <c:formatCode>General</c:formatCode>
                <c:ptCount val="1"/>
                <c:pt idx="0">
                  <c:v>0</c:v>
                </c:pt>
              </c:numCache>
            </c:numRef>
          </c:val>
          <c:extLst>
            <c:ext xmlns:c16="http://schemas.microsoft.com/office/drawing/2014/chart" uri="{C3380CC4-5D6E-409C-BE32-E72D297353CC}">
              <c16:uniqueId val="{00000002-5D21-4339-BF69-33888A5EE8C7}"/>
            </c:ext>
          </c:extLst>
        </c:ser>
        <c:ser>
          <c:idx val="3"/>
          <c:order val="3"/>
          <c:spPr>
            <a:solidFill>
              <a:srgbClr val="94D0E8"/>
            </a:solidFill>
            <a:ln>
              <a:solidFill>
                <a:srgbClr val="36B7DA"/>
              </a:solidFill>
            </a:ln>
            <a:effectLst/>
          </c:spPr>
          <c:invertIfNegative val="0"/>
          <c:val>
            <c:numRef>
              <c:f>Text!$L$387</c:f>
              <c:numCache>
                <c:formatCode>General</c:formatCode>
                <c:ptCount val="1"/>
                <c:pt idx="0">
                  <c:v>0</c:v>
                </c:pt>
              </c:numCache>
            </c:numRef>
          </c:val>
          <c:extLst>
            <c:ext xmlns:c16="http://schemas.microsoft.com/office/drawing/2014/chart" uri="{C3380CC4-5D6E-409C-BE32-E72D297353CC}">
              <c16:uniqueId val="{00000003-5D21-4339-BF69-33888A5EE8C7}"/>
            </c:ext>
          </c:extLst>
        </c:ser>
        <c:ser>
          <c:idx val="4"/>
          <c:order val="4"/>
          <c:spPr>
            <a:solidFill>
              <a:schemeClr val="bg1"/>
            </a:solidFill>
            <a:ln>
              <a:solidFill>
                <a:srgbClr val="36B7DA"/>
              </a:solidFill>
            </a:ln>
            <a:effectLst/>
          </c:spPr>
          <c:invertIfNegative val="0"/>
          <c:val>
            <c:numRef>
              <c:f>Text!$L$388</c:f>
              <c:numCache>
                <c:formatCode>General</c:formatCode>
                <c:ptCount val="1"/>
                <c:pt idx="0">
                  <c:v>0.5</c:v>
                </c:pt>
              </c:numCache>
            </c:numRef>
          </c:val>
          <c:extLst>
            <c:ext xmlns:c16="http://schemas.microsoft.com/office/drawing/2014/chart" uri="{C3380CC4-5D6E-409C-BE32-E72D297353CC}">
              <c16:uniqueId val="{00000004-5D21-4339-BF69-33888A5EE8C7}"/>
            </c:ext>
          </c:extLst>
        </c:ser>
        <c:ser>
          <c:idx val="5"/>
          <c:order val="5"/>
          <c:spPr>
            <a:solidFill>
              <a:schemeClr val="bg1"/>
            </a:solidFill>
            <a:ln>
              <a:solidFill>
                <a:srgbClr val="36B7DA"/>
              </a:solidFill>
            </a:ln>
            <a:effectLst/>
          </c:spPr>
          <c:invertIfNegative val="0"/>
          <c:val>
            <c:numRef>
              <c:f>Text!$L$389</c:f>
              <c:numCache>
                <c:formatCode>General</c:formatCode>
                <c:ptCount val="1"/>
                <c:pt idx="0">
                  <c:v>0.15</c:v>
                </c:pt>
              </c:numCache>
            </c:numRef>
          </c:val>
          <c:extLst>
            <c:ext xmlns:c16="http://schemas.microsoft.com/office/drawing/2014/chart" uri="{C3380CC4-5D6E-409C-BE32-E72D297353CC}">
              <c16:uniqueId val="{00000005-5D21-4339-BF69-33888A5EE8C7}"/>
            </c:ext>
          </c:extLst>
        </c:ser>
        <c:ser>
          <c:idx val="6"/>
          <c:order val="6"/>
          <c:spPr>
            <a:solidFill>
              <a:schemeClr val="bg1"/>
            </a:solidFill>
            <a:ln>
              <a:solidFill>
                <a:srgbClr val="36B7DA"/>
              </a:solidFill>
            </a:ln>
            <a:effectLst/>
          </c:spPr>
          <c:invertIfNegative val="0"/>
          <c:val>
            <c:numRef>
              <c:f>Text!$L$390</c:f>
              <c:numCache>
                <c:formatCode>General</c:formatCode>
                <c:ptCount val="1"/>
                <c:pt idx="0">
                  <c:v>0.2</c:v>
                </c:pt>
              </c:numCache>
            </c:numRef>
          </c:val>
          <c:extLst>
            <c:ext xmlns:c16="http://schemas.microsoft.com/office/drawing/2014/chart" uri="{C3380CC4-5D6E-409C-BE32-E72D297353CC}">
              <c16:uniqueId val="{00000006-5D21-4339-BF69-33888A5EE8C7}"/>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0070C0"/>
          </a:solidFill>
        </a:ln>
        <a:effectLst/>
      </c:spPr>
    </c:plotArea>
    <c:plotVisOnly val="1"/>
    <c:dispBlanksAs val="gap"/>
    <c:showDLblsOverMax val="0"/>
  </c:chart>
  <c:spPr>
    <a:noFill/>
    <a:ln w="9525" cap="flat" cmpd="sng" algn="ctr">
      <a:solidFill>
        <a:srgbClr val="36B7DA"/>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6D383"/>
            </a:solidFill>
            <a:ln>
              <a:solidFill>
                <a:srgbClr val="76B729"/>
              </a:solidFill>
            </a:ln>
            <a:effectLst/>
          </c:spPr>
          <c:invertIfNegative val="0"/>
          <c:val>
            <c:numRef>
              <c:f>Text!$M$384</c:f>
              <c:numCache>
                <c:formatCode>General</c:formatCode>
                <c:ptCount val="1"/>
                <c:pt idx="0">
                  <c:v>0</c:v>
                </c:pt>
              </c:numCache>
            </c:numRef>
          </c:val>
          <c:extLst>
            <c:ext xmlns:c16="http://schemas.microsoft.com/office/drawing/2014/chart" uri="{C3380CC4-5D6E-409C-BE32-E72D297353CC}">
              <c16:uniqueId val="{00000000-5C99-4559-A297-0B485BE2E674}"/>
            </c:ext>
          </c:extLst>
        </c:ser>
        <c:ser>
          <c:idx val="1"/>
          <c:order val="1"/>
          <c:spPr>
            <a:solidFill>
              <a:srgbClr val="B6D383"/>
            </a:solidFill>
            <a:ln>
              <a:solidFill>
                <a:srgbClr val="76B729"/>
              </a:solidFill>
            </a:ln>
            <a:effectLst/>
          </c:spPr>
          <c:invertIfNegative val="0"/>
          <c:val>
            <c:numRef>
              <c:f>Text!$M$385</c:f>
              <c:numCache>
                <c:formatCode>General</c:formatCode>
                <c:ptCount val="1"/>
                <c:pt idx="0">
                  <c:v>0</c:v>
                </c:pt>
              </c:numCache>
            </c:numRef>
          </c:val>
          <c:extLst>
            <c:ext xmlns:c16="http://schemas.microsoft.com/office/drawing/2014/chart" uri="{C3380CC4-5D6E-409C-BE32-E72D297353CC}">
              <c16:uniqueId val="{00000001-5C99-4559-A297-0B485BE2E674}"/>
            </c:ext>
          </c:extLst>
        </c:ser>
        <c:ser>
          <c:idx val="2"/>
          <c:order val="2"/>
          <c:spPr>
            <a:solidFill>
              <a:srgbClr val="B6D383"/>
            </a:solidFill>
            <a:ln>
              <a:solidFill>
                <a:schemeClr val="accent6">
                  <a:lumMod val="50000"/>
                </a:schemeClr>
              </a:solidFill>
            </a:ln>
            <a:effectLst/>
          </c:spPr>
          <c:invertIfNegative val="0"/>
          <c:dPt>
            <c:idx val="0"/>
            <c:invertIfNegative val="0"/>
            <c:bubble3D val="0"/>
            <c:spPr>
              <a:solidFill>
                <a:srgbClr val="B6D383"/>
              </a:solidFill>
              <a:ln>
                <a:solidFill>
                  <a:srgbClr val="76B729"/>
                </a:solidFill>
              </a:ln>
              <a:effectLst/>
            </c:spPr>
            <c:extLst>
              <c:ext xmlns:c16="http://schemas.microsoft.com/office/drawing/2014/chart" uri="{C3380CC4-5D6E-409C-BE32-E72D297353CC}">
                <c16:uniqueId val="{00000003-2DC4-43BD-8FE7-8599307F11A4}"/>
              </c:ext>
            </c:extLst>
          </c:dPt>
          <c:val>
            <c:numRef>
              <c:f>Text!$M$386</c:f>
              <c:numCache>
                <c:formatCode>General</c:formatCode>
                <c:ptCount val="1"/>
                <c:pt idx="0">
                  <c:v>0</c:v>
                </c:pt>
              </c:numCache>
            </c:numRef>
          </c:val>
          <c:extLst>
            <c:ext xmlns:c16="http://schemas.microsoft.com/office/drawing/2014/chart" uri="{C3380CC4-5D6E-409C-BE32-E72D297353CC}">
              <c16:uniqueId val="{00000002-5C99-4559-A297-0B485BE2E674}"/>
            </c:ext>
          </c:extLst>
        </c:ser>
        <c:ser>
          <c:idx val="3"/>
          <c:order val="3"/>
          <c:spPr>
            <a:solidFill>
              <a:srgbClr val="B6D383"/>
            </a:solidFill>
            <a:ln>
              <a:solidFill>
                <a:srgbClr val="76B729"/>
              </a:solidFill>
            </a:ln>
            <a:effectLst/>
          </c:spPr>
          <c:invertIfNegative val="0"/>
          <c:val>
            <c:numRef>
              <c:f>Text!$M$387</c:f>
              <c:numCache>
                <c:formatCode>General</c:formatCode>
                <c:ptCount val="1"/>
                <c:pt idx="0">
                  <c:v>0</c:v>
                </c:pt>
              </c:numCache>
            </c:numRef>
          </c:val>
          <c:extLst>
            <c:ext xmlns:c16="http://schemas.microsoft.com/office/drawing/2014/chart" uri="{C3380CC4-5D6E-409C-BE32-E72D297353CC}">
              <c16:uniqueId val="{00000003-5C99-4559-A297-0B485BE2E674}"/>
            </c:ext>
          </c:extLst>
        </c:ser>
        <c:ser>
          <c:idx val="4"/>
          <c:order val="4"/>
          <c:spPr>
            <a:solidFill>
              <a:schemeClr val="bg1"/>
            </a:solidFill>
            <a:ln>
              <a:solidFill>
                <a:srgbClr val="76B729"/>
              </a:solidFill>
            </a:ln>
            <a:effectLst/>
          </c:spPr>
          <c:invertIfNegative val="0"/>
          <c:val>
            <c:numRef>
              <c:f>Text!$M$388</c:f>
              <c:numCache>
                <c:formatCode>General</c:formatCode>
                <c:ptCount val="1"/>
                <c:pt idx="0">
                  <c:v>0.5</c:v>
                </c:pt>
              </c:numCache>
            </c:numRef>
          </c:val>
          <c:extLst>
            <c:ext xmlns:c16="http://schemas.microsoft.com/office/drawing/2014/chart" uri="{C3380CC4-5D6E-409C-BE32-E72D297353CC}">
              <c16:uniqueId val="{00000002-BA5E-4198-BA07-1CCA9D48E905}"/>
            </c:ext>
          </c:extLst>
        </c:ser>
        <c:ser>
          <c:idx val="5"/>
          <c:order val="5"/>
          <c:spPr>
            <a:solidFill>
              <a:schemeClr val="bg1"/>
            </a:solidFill>
            <a:ln>
              <a:solidFill>
                <a:srgbClr val="76B729"/>
              </a:solidFill>
            </a:ln>
            <a:effectLst/>
          </c:spPr>
          <c:invertIfNegative val="0"/>
          <c:val>
            <c:numRef>
              <c:f>Text!$M$389</c:f>
              <c:numCache>
                <c:formatCode>General</c:formatCode>
                <c:ptCount val="1"/>
                <c:pt idx="0">
                  <c:v>0.15</c:v>
                </c:pt>
              </c:numCache>
            </c:numRef>
          </c:val>
          <c:extLst>
            <c:ext xmlns:c16="http://schemas.microsoft.com/office/drawing/2014/chart" uri="{C3380CC4-5D6E-409C-BE32-E72D297353CC}">
              <c16:uniqueId val="{00000003-BA5E-4198-BA07-1CCA9D48E905}"/>
            </c:ext>
          </c:extLst>
        </c:ser>
        <c:ser>
          <c:idx val="6"/>
          <c:order val="6"/>
          <c:spPr>
            <a:solidFill>
              <a:schemeClr val="bg1"/>
            </a:solidFill>
            <a:ln>
              <a:solidFill>
                <a:srgbClr val="76B729"/>
              </a:solidFill>
            </a:ln>
            <a:effectLst/>
          </c:spPr>
          <c:invertIfNegative val="0"/>
          <c:val>
            <c:numRef>
              <c:f>Text!$M$390</c:f>
              <c:numCache>
                <c:formatCode>General</c:formatCode>
                <c:ptCount val="1"/>
                <c:pt idx="0">
                  <c:v>0.2</c:v>
                </c:pt>
              </c:numCache>
            </c:numRef>
          </c:val>
          <c:extLst>
            <c:ext xmlns:c16="http://schemas.microsoft.com/office/drawing/2014/chart" uri="{C3380CC4-5D6E-409C-BE32-E72D297353CC}">
              <c16:uniqueId val="{00000004-BA5E-4198-BA07-1CCA9D48E905}"/>
            </c:ext>
          </c:extLst>
        </c:ser>
        <c:ser>
          <c:idx val="7"/>
          <c:order val="7"/>
          <c:spPr>
            <a:solidFill>
              <a:schemeClr val="accent2">
                <a:lumMod val="60000"/>
              </a:schemeClr>
            </a:solidFill>
            <a:ln>
              <a:solidFill>
                <a:srgbClr val="76B729"/>
              </a:solidFill>
            </a:ln>
            <a:effectLst/>
          </c:spPr>
          <c:invertIfNegative val="0"/>
          <c:dPt>
            <c:idx val="0"/>
            <c:invertIfNegative val="0"/>
            <c:bubble3D val="0"/>
            <c:spPr>
              <a:solidFill>
                <a:schemeClr val="bg1"/>
              </a:solidFill>
              <a:ln>
                <a:solidFill>
                  <a:srgbClr val="76B729"/>
                </a:solidFill>
              </a:ln>
              <a:effectLst/>
            </c:spPr>
            <c:extLst>
              <c:ext xmlns:c16="http://schemas.microsoft.com/office/drawing/2014/chart" uri="{C3380CC4-5D6E-409C-BE32-E72D297353CC}">
                <c16:uniqueId val="{00000001-6759-42D9-9B45-864CF0A961EE}"/>
              </c:ext>
            </c:extLst>
          </c:dPt>
          <c:val>
            <c:numRef>
              <c:f>Text!$M$391</c:f>
              <c:numCache>
                <c:formatCode>General</c:formatCode>
                <c:ptCount val="1"/>
                <c:pt idx="0">
                  <c:v>0.15</c:v>
                </c:pt>
              </c:numCache>
            </c:numRef>
          </c:val>
          <c:extLst>
            <c:ext xmlns:c16="http://schemas.microsoft.com/office/drawing/2014/chart" uri="{C3380CC4-5D6E-409C-BE32-E72D297353CC}">
              <c16:uniqueId val="{00000005-BA5E-4198-BA07-1CCA9D48E905}"/>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solidFill>
          <a:schemeClr val="bg1"/>
        </a:solidFill>
        <a:ln w="25400">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B3DEEF"/>
            </a:solidFill>
            <a:ln>
              <a:solidFill>
                <a:srgbClr val="36B7DA"/>
              </a:solidFill>
            </a:ln>
            <a:effectLst/>
          </c:spPr>
          <c:invertIfNegative val="0"/>
          <c:cat>
            <c:strLit>
              <c:ptCount val="3"/>
              <c:pt idx="0">
                <c:v>1</c:v>
              </c:pt>
              <c:pt idx="1">
                <c:v>2</c:v>
              </c:pt>
              <c:pt idx="2">
                <c:v>3</c:v>
              </c:pt>
              <c:pt idx="3">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Text!$K$350:$M$350</c15:sqref>
                  </c15:fullRef>
                </c:ext>
              </c:extLst>
              <c:f>Text!$K$350:$M$350</c:f>
              <c:numCache>
                <c:formatCode>0.00</c:formatCode>
                <c:ptCount val="3"/>
                <c:pt idx="0">
                  <c:v>0</c:v>
                </c:pt>
                <c:pt idx="1">
                  <c:v>0</c:v>
                </c:pt>
                <c:pt idx="2">
                  <c:v>0</c:v>
                </c:pt>
              </c:numCache>
            </c:numRef>
          </c:val>
          <c:extLst>
            <c:ext xmlns:c16="http://schemas.microsoft.com/office/drawing/2014/chart" uri="{C3380CC4-5D6E-409C-BE32-E72D297353CC}">
              <c16:uniqueId val="{00000000-F2DB-4FD4-A9FE-DA394B495003}"/>
            </c:ext>
          </c:extLst>
        </c:ser>
        <c:ser>
          <c:idx val="1"/>
          <c:order val="1"/>
          <c:spPr>
            <a:solidFill>
              <a:srgbClr val="B3DEEF"/>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Text!$K$351:$N$351</c15:sqref>
                  </c15:fullRef>
                </c:ext>
              </c:extLst>
              <c:f>Text!$K$351:$M$351</c:f>
              <c:numCache>
                <c:formatCode>0.00</c:formatCode>
                <c:ptCount val="3"/>
                <c:pt idx="0">
                  <c:v>0</c:v>
                </c:pt>
                <c:pt idx="1">
                  <c:v>0</c:v>
                </c:pt>
                <c:pt idx="2">
                  <c:v>0</c:v>
                </c:pt>
              </c:numCache>
            </c:numRef>
          </c:val>
          <c:extLst>
            <c:ext xmlns:c16="http://schemas.microsoft.com/office/drawing/2014/chart" uri="{C3380CC4-5D6E-409C-BE32-E72D297353CC}">
              <c16:uniqueId val="{00000001-F2DB-4FD4-A9FE-DA394B495003}"/>
            </c:ext>
          </c:extLst>
        </c:ser>
        <c:ser>
          <c:idx val="2"/>
          <c:order val="2"/>
          <c:spPr>
            <a:solidFill>
              <a:srgbClr val="B3DEEF"/>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Text!$K$352:$N$352</c15:sqref>
                  </c15:fullRef>
                </c:ext>
              </c:extLst>
              <c:f>Text!$K$352:$M$352</c:f>
              <c:numCache>
                <c:formatCode>0.00</c:formatCode>
                <c:ptCount val="3"/>
                <c:pt idx="0">
                  <c:v>0</c:v>
                </c:pt>
                <c:pt idx="1">
                  <c:v>0</c:v>
                </c:pt>
                <c:pt idx="2">
                  <c:v>0</c:v>
                </c:pt>
              </c:numCache>
            </c:numRef>
          </c:val>
          <c:extLst>
            <c:ext xmlns:c16="http://schemas.microsoft.com/office/drawing/2014/chart" uri="{C3380CC4-5D6E-409C-BE32-E72D297353CC}">
              <c16:uniqueId val="{00000002-F2DB-4FD4-A9FE-DA394B495003}"/>
            </c:ext>
          </c:extLst>
        </c:ser>
        <c:ser>
          <c:idx val="3"/>
          <c:order val="3"/>
          <c:spPr>
            <a:solidFill>
              <a:srgbClr val="B3DEEF"/>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Text!$K$353:$N$353</c15:sqref>
                  </c15:fullRef>
                </c:ext>
              </c:extLst>
              <c:f>Text!$K$353:$M$353</c:f>
              <c:numCache>
                <c:formatCode>0.00</c:formatCode>
                <c:ptCount val="3"/>
                <c:pt idx="0">
                  <c:v>0</c:v>
                </c:pt>
                <c:pt idx="1">
                  <c:v>0</c:v>
                </c:pt>
                <c:pt idx="2">
                  <c:v>0</c:v>
                </c:pt>
              </c:numCache>
            </c:numRef>
          </c:val>
          <c:extLst>
            <c:ext xmlns:c16="http://schemas.microsoft.com/office/drawing/2014/chart" uri="{C3380CC4-5D6E-409C-BE32-E72D297353CC}">
              <c16:uniqueId val="{00000003-F2DB-4FD4-A9FE-DA394B495003}"/>
            </c:ext>
          </c:extLst>
        </c:ser>
        <c:ser>
          <c:idx val="4"/>
          <c:order val="4"/>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Text!$K$355:$N$355</c15:sqref>
                  </c15:fullRef>
                </c:ext>
              </c:extLst>
              <c:f>Text!$K$355:$M$355</c:f>
              <c:numCache>
                <c:formatCode>0.00</c:formatCode>
                <c:ptCount val="3"/>
                <c:pt idx="0">
                  <c:v>0.5</c:v>
                </c:pt>
                <c:pt idx="1">
                  <c:v>0.5</c:v>
                </c:pt>
                <c:pt idx="2">
                  <c:v>0.5</c:v>
                </c:pt>
              </c:numCache>
            </c:numRef>
          </c:val>
          <c:extLst>
            <c:ext xmlns:c16="http://schemas.microsoft.com/office/drawing/2014/chart" uri="{C3380CC4-5D6E-409C-BE32-E72D297353CC}">
              <c16:uniqueId val="{00000004-F2DB-4FD4-A9FE-DA394B495003}"/>
            </c:ext>
          </c:extLst>
        </c:ser>
        <c:ser>
          <c:idx val="5"/>
          <c:order val="5"/>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Text!$K$356:$N$356</c15:sqref>
                  </c15:fullRef>
                </c:ext>
              </c:extLst>
              <c:f>Text!$K$356:$M$356</c:f>
              <c:numCache>
                <c:formatCode>0.00</c:formatCode>
                <c:ptCount val="3"/>
                <c:pt idx="0">
                  <c:v>0.15</c:v>
                </c:pt>
                <c:pt idx="1">
                  <c:v>0.15</c:v>
                </c:pt>
                <c:pt idx="2">
                  <c:v>0.15</c:v>
                </c:pt>
              </c:numCache>
            </c:numRef>
          </c:val>
          <c:extLst>
            <c:ext xmlns:c16="http://schemas.microsoft.com/office/drawing/2014/chart" uri="{C3380CC4-5D6E-409C-BE32-E72D297353CC}">
              <c16:uniqueId val="{00000005-F2DB-4FD4-A9FE-DA394B495003}"/>
            </c:ext>
          </c:extLst>
        </c:ser>
        <c:ser>
          <c:idx val="6"/>
          <c:order val="6"/>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Text!$K$357:$N$357</c15:sqref>
                  </c15:fullRef>
                </c:ext>
              </c:extLst>
              <c:f>Text!$K$357:$M$357</c:f>
              <c:numCache>
                <c:formatCode>0.00</c:formatCode>
                <c:ptCount val="3"/>
                <c:pt idx="0">
                  <c:v>0.2</c:v>
                </c:pt>
                <c:pt idx="1">
                  <c:v>0.2</c:v>
                </c:pt>
                <c:pt idx="2">
                  <c:v>0.2</c:v>
                </c:pt>
              </c:numCache>
            </c:numRef>
          </c:val>
          <c:extLst>
            <c:ext xmlns:c16="http://schemas.microsoft.com/office/drawing/2014/chart" uri="{C3380CC4-5D6E-409C-BE32-E72D297353CC}">
              <c16:uniqueId val="{00000006-F2DB-4FD4-A9FE-DA394B495003}"/>
            </c:ext>
          </c:extLst>
        </c:ser>
        <c:ser>
          <c:idx val="7"/>
          <c:order val="7"/>
          <c:spPr>
            <a:solidFill>
              <a:schemeClr val="bg1"/>
            </a:solidFill>
            <a:ln>
              <a:solidFill>
                <a:srgbClr val="36B7DA"/>
              </a:solidFill>
            </a:ln>
            <a:effectLst/>
          </c:spPr>
          <c:invertIfNegative val="0"/>
          <c:cat>
            <c:strLit>
              <c:ptCount val="3"/>
              <c:pt idx="0">
                <c:v>1</c:v>
              </c:pt>
              <c:pt idx="1">
                <c:v>2</c:v>
              </c:pt>
              <c:pt idx="2">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Text!$K$358:$N$358</c15:sqref>
                  </c15:fullRef>
                </c:ext>
              </c:extLst>
              <c:f>Text!$K$358:$M$358</c:f>
              <c:numCache>
                <c:formatCode>0.00</c:formatCode>
                <c:ptCount val="3"/>
                <c:pt idx="0">
                  <c:v>0.15</c:v>
                </c:pt>
                <c:pt idx="1">
                  <c:v>0.15</c:v>
                </c:pt>
                <c:pt idx="2">
                  <c:v>0.15</c:v>
                </c:pt>
              </c:numCache>
            </c:numRef>
          </c:val>
          <c:extLst>
            <c:ext xmlns:c16="http://schemas.microsoft.com/office/drawing/2014/chart" uri="{C3380CC4-5D6E-409C-BE32-E72D297353CC}">
              <c16:uniqueId val="{00000007-F2DB-4FD4-A9FE-DA394B49500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0070C0"/>
          </a:solidFill>
        </a:ln>
        <a:effectLst/>
      </c:spPr>
    </c:plotArea>
    <c:plotVisOnly val="1"/>
    <c:dispBlanksAs val="gap"/>
    <c:showDLblsOverMax val="0"/>
  </c:chart>
  <c:spPr>
    <a:noFill/>
    <a:ln w="9525" cap="flat" cmpd="sng" algn="ctr">
      <a:solidFill>
        <a:srgbClr val="36B7DA"/>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691711787947355"/>
          <c:y val="0.2020228844412327"/>
          <c:w val="0.55742113008904837"/>
          <c:h val="0.74110828186245392"/>
        </c:manualLayout>
      </c:layout>
      <c:radarChart>
        <c:radarStyle val="filled"/>
        <c:varyColors val="0"/>
        <c:ser>
          <c:idx val="0"/>
          <c:order val="0"/>
          <c:spPr>
            <a:noFill/>
            <a:ln>
              <a:solidFill>
                <a:schemeClr val="bg1">
                  <a:lumMod val="50000"/>
                </a:schemeClr>
              </a:solidFill>
            </a:ln>
            <a:effectLst/>
          </c:spPr>
          <c:dLbls>
            <c:delete val="1"/>
          </c:dLbls>
          <c:cat>
            <c:numRef>
              <c:f>Text!$L$401:$L$404</c:f>
              <c:numCache>
                <c:formatCode>General</c:formatCode>
                <c:ptCount val="4"/>
              </c:numCache>
            </c:numRef>
          </c:cat>
          <c:val>
            <c:numRef>
              <c:f>(Text!$L$427:$L$430,Text!$L$431:$L$433,Text!$L$434:$L$437)</c:f>
              <c:numCache>
                <c:formatCode>General</c:formatCode>
                <c:ptCount val="11"/>
                <c:pt idx="0">
                  <c:v>0.65</c:v>
                </c:pt>
                <c:pt idx="1">
                  <c:v>0.65500000000000003</c:v>
                </c:pt>
                <c:pt idx="2">
                  <c:v>0.95</c:v>
                </c:pt>
                <c:pt idx="3">
                  <c:v>0.55000000000000004</c:v>
                </c:pt>
                <c:pt idx="4">
                  <c:v>0.5</c:v>
                </c:pt>
                <c:pt idx="5">
                  <c:v>0.65</c:v>
                </c:pt>
                <c:pt idx="6">
                  <c:v>0.3</c:v>
                </c:pt>
                <c:pt idx="7">
                  <c:v>0.8</c:v>
                </c:pt>
                <c:pt idx="8">
                  <c:v>0.9</c:v>
                </c:pt>
                <c:pt idx="9">
                  <c:v>0.9</c:v>
                </c:pt>
                <c:pt idx="10">
                  <c:v>1</c:v>
                </c:pt>
              </c:numCache>
            </c:numRef>
          </c:val>
          <c:extLst>
            <c:ext xmlns:c16="http://schemas.microsoft.com/office/drawing/2014/chart" uri="{C3380CC4-5D6E-409C-BE32-E72D297353CC}">
              <c16:uniqueId val="{00000000-954A-4EF2-A859-F308F74B9BAE}"/>
            </c:ext>
          </c:extLst>
        </c:ser>
        <c:dLbls>
          <c:showLegendKey val="0"/>
          <c:showVal val="1"/>
          <c:showCatName val="0"/>
          <c:showSerName val="0"/>
          <c:showPercent val="0"/>
          <c:showBubbleSize val="0"/>
        </c:dLbls>
        <c:axId val="1124657088"/>
        <c:axId val="1124652096"/>
      </c:radarChart>
      <c:catAx>
        <c:axId val="1124657088"/>
        <c:scaling>
          <c:orientation val="minMax"/>
        </c:scaling>
        <c:delete val="0"/>
        <c:axPos val="b"/>
        <c:numFmt formatCode="General" sourceLinked="1"/>
        <c:majorTickMark val="none"/>
        <c:minorTickMark val="none"/>
        <c:tickLblPos val="nextTo"/>
        <c:spPr>
          <a:noFill/>
          <a:ln w="9525" cap="flat" cmpd="sng" algn="ctr">
            <a:solidFill>
              <a:srgbClr val="C00000"/>
            </a:solidFill>
            <a:round/>
          </a:ln>
          <a:effectLst/>
        </c:spPr>
        <c:txPr>
          <a:bodyPr rot="0" spcFirstLastPara="1" vertOverflow="ellipsis" wrap="square" anchor="ctr" anchorCtr="1"/>
          <a:lstStyle/>
          <a:p>
            <a:pPr>
              <a:defRPr sz="900" b="0" i="0" u="none" strike="noStrike" kern="1200" baseline="0">
                <a:noFill/>
                <a:latin typeface="+mn-lt"/>
                <a:ea typeface="+mn-ea"/>
                <a:cs typeface="+mn-cs"/>
              </a:defRPr>
            </a:pPr>
            <a:endParaRPr lang="de-DE"/>
          </a:p>
        </c:txPr>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1124657088"/>
        <c:crosses val="autoZero"/>
        <c:crossBetween val="between"/>
        <c:majorUnit val="0.25"/>
      </c:valAx>
      <c:spPr>
        <a:noFill/>
        <a:ln>
          <a:noFill/>
        </a:ln>
        <a:effectLst/>
      </c:spPr>
    </c:plotArea>
    <c:plotVisOnly val="1"/>
    <c:dispBlanksAs val="gap"/>
    <c:showDLblsOverMax val="0"/>
  </c:chart>
  <c:spPr>
    <a:noFill/>
    <a:ln w="9525" cap="flat" cmpd="sng" algn="ctr">
      <a:noFill/>
      <a:round/>
    </a:ln>
    <a:effectLst/>
  </c:spPr>
  <c:txPr>
    <a:bodyPr/>
    <a:lstStyle/>
    <a:p>
      <a:pPr>
        <a:defRPr>
          <a:noFill/>
        </a:defRPr>
      </a:pPr>
      <a:endParaRPr lang="de-DE"/>
    </a:p>
  </c:txPr>
  <c:printSettings>
    <c:headerFooter/>
    <c:pageMargins b="0.78740157499999996" l="0.7" r="0.7" t="0.78740157499999996" header="0.3" footer="0.3"/>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val>
            <c:numRef>
              <c:f>Text!$K$419</c:f>
              <c:numCache>
                <c:formatCode>General</c:formatCode>
                <c:ptCount val="1"/>
                <c:pt idx="0">
                  <c:v>0.5</c:v>
                </c:pt>
              </c:numCache>
            </c:numRef>
          </c:val>
          <c:extLst>
            <c:ext xmlns:c16="http://schemas.microsoft.com/office/drawing/2014/chart" uri="{C3380CC4-5D6E-409C-BE32-E72D297353CC}">
              <c16:uniqueId val="{00000000-3C84-4063-8EE4-AD6891FC79F1}"/>
            </c:ext>
          </c:extLst>
        </c:ser>
        <c:ser>
          <c:idx val="1"/>
          <c:order val="1"/>
          <c:spPr>
            <a:solidFill>
              <a:srgbClr val="FFD1D1"/>
            </a:solidFill>
            <a:ln>
              <a:solidFill>
                <a:srgbClr val="C00000"/>
              </a:solidFill>
            </a:ln>
            <a:effectLst/>
          </c:spPr>
          <c:invertIfNegative val="0"/>
          <c:val>
            <c:numRef>
              <c:f>Text!$K$420</c:f>
              <c:numCache>
                <c:formatCode>General</c:formatCode>
                <c:ptCount val="1"/>
                <c:pt idx="0">
                  <c:v>0.15</c:v>
                </c:pt>
              </c:numCache>
            </c:numRef>
          </c:val>
          <c:extLst>
            <c:ext xmlns:c16="http://schemas.microsoft.com/office/drawing/2014/chart" uri="{C3380CC4-5D6E-409C-BE32-E72D297353CC}">
              <c16:uniqueId val="{00000001-3C84-4063-8EE4-AD6891FC79F1}"/>
            </c:ext>
          </c:extLst>
        </c:ser>
        <c:ser>
          <c:idx val="2"/>
          <c:order val="2"/>
          <c:spPr>
            <a:solidFill>
              <a:srgbClr val="FFD1D1"/>
            </a:solidFill>
            <a:ln>
              <a:solidFill>
                <a:srgbClr val="C00000"/>
              </a:solidFill>
            </a:ln>
            <a:effectLst/>
          </c:spPr>
          <c:invertIfNegative val="0"/>
          <c:val>
            <c:numRef>
              <c:f>Text!$K$421</c:f>
              <c:numCache>
                <c:formatCode>General</c:formatCode>
                <c:ptCount val="1"/>
                <c:pt idx="0">
                  <c:v>7.999999999999996E-2</c:v>
                </c:pt>
              </c:numCache>
            </c:numRef>
          </c:val>
          <c:extLst>
            <c:ext xmlns:c16="http://schemas.microsoft.com/office/drawing/2014/chart" uri="{C3380CC4-5D6E-409C-BE32-E72D297353CC}">
              <c16:uniqueId val="{00000002-3C84-4063-8EE4-AD6891FC79F1}"/>
            </c:ext>
          </c:extLst>
        </c:ser>
        <c:ser>
          <c:idx val="3"/>
          <c:order val="3"/>
          <c:spPr>
            <a:solidFill>
              <a:schemeClr val="accent4"/>
            </a:solidFill>
            <a:ln>
              <a:noFill/>
            </a:ln>
            <a:effectLst/>
          </c:spPr>
          <c:invertIfNegative val="0"/>
          <c:val>
            <c:numRef>
              <c:f>Text!$K$422</c:f>
              <c:numCache>
                <c:formatCode>General</c:formatCode>
                <c:ptCount val="1"/>
                <c:pt idx="0">
                  <c:v>0</c:v>
                </c:pt>
              </c:numCache>
            </c:numRef>
          </c:val>
          <c:extLst>
            <c:ext xmlns:c16="http://schemas.microsoft.com/office/drawing/2014/chart" uri="{C3380CC4-5D6E-409C-BE32-E72D297353CC}">
              <c16:uniqueId val="{00000003-3C84-4063-8EE4-AD6891FC79F1}"/>
            </c:ext>
          </c:extLst>
        </c:ser>
        <c:ser>
          <c:idx val="4"/>
          <c:order val="4"/>
          <c:spPr>
            <a:solidFill>
              <a:schemeClr val="bg1"/>
            </a:solidFill>
            <a:ln>
              <a:solidFill>
                <a:srgbClr val="C00000"/>
              </a:solidFill>
            </a:ln>
            <a:effectLst/>
          </c:spPr>
          <c:invertIfNegative val="0"/>
          <c:val>
            <c:numRef>
              <c:f>Text!$K$423</c:f>
              <c:numCache>
                <c:formatCode>General</c:formatCode>
                <c:ptCount val="1"/>
                <c:pt idx="0">
                  <c:v>0.12000000000000005</c:v>
                </c:pt>
              </c:numCache>
            </c:numRef>
          </c:val>
          <c:extLst>
            <c:ext xmlns:c16="http://schemas.microsoft.com/office/drawing/2014/chart" uri="{C3380CC4-5D6E-409C-BE32-E72D297353CC}">
              <c16:uniqueId val="{00000008-3C84-4063-8EE4-AD6891FC79F1}"/>
            </c:ext>
          </c:extLst>
        </c:ser>
        <c:ser>
          <c:idx val="5"/>
          <c:order val="5"/>
          <c:spPr>
            <a:solidFill>
              <a:schemeClr val="accent6"/>
            </a:solidFill>
            <a:ln>
              <a:noFill/>
            </a:ln>
            <a:effectLst/>
          </c:spPr>
          <c:invertIfNegative val="0"/>
          <c:val>
            <c:numRef>
              <c:f>Text!$K$424</c:f>
              <c:numCache>
                <c:formatCode>General</c:formatCode>
                <c:ptCount val="1"/>
                <c:pt idx="0">
                  <c:v>0</c:v>
                </c:pt>
              </c:numCache>
            </c:numRef>
          </c:val>
          <c:extLst>
            <c:ext xmlns:c16="http://schemas.microsoft.com/office/drawing/2014/chart" uri="{C3380CC4-5D6E-409C-BE32-E72D297353CC}">
              <c16:uniqueId val="{00000009-3C84-4063-8EE4-AD6891FC79F1}"/>
            </c:ext>
          </c:extLst>
        </c:ser>
        <c:ser>
          <c:idx val="6"/>
          <c:order val="6"/>
          <c:spPr>
            <a:solidFill>
              <a:schemeClr val="accent1">
                <a:lumMod val="60000"/>
              </a:schemeClr>
            </a:solidFill>
            <a:ln>
              <a:noFill/>
            </a:ln>
            <a:effectLst/>
          </c:spPr>
          <c:invertIfNegative val="0"/>
          <c:val>
            <c:numRef>
              <c:f>Text!$K$425</c:f>
              <c:numCache>
                <c:formatCode>General</c:formatCode>
                <c:ptCount val="1"/>
                <c:pt idx="0">
                  <c:v>0</c:v>
                </c:pt>
              </c:numCache>
            </c:numRef>
          </c:val>
          <c:extLst>
            <c:ext xmlns:c16="http://schemas.microsoft.com/office/drawing/2014/chart" uri="{C3380CC4-5D6E-409C-BE32-E72D297353CC}">
              <c16:uniqueId val="{0000000A-3C84-4063-8EE4-AD6891FC79F1}"/>
            </c:ext>
          </c:extLst>
        </c:ser>
        <c:ser>
          <c:idx val="7"/>
          <c:order val="7"/>
          <c:spPr>
            <a:solidFill>
              <a:schemeClr val="accent2">
                <a:lumMod val="60000"/>
              </a:schemeClr>
            </a:solidFill>
            <a:ln>
              <a:noFill/>
            </a:ln>
            <a:effectLst/>
          </c:spPr>
          <c:invertIfNegative val="0"/>
          <c:dPt>
            <c:idx val="0"/>
            <c:invertIfNegative val="0"/>
            <c:bubble3D val="0"/>
            <c:spPr>
              <a:solidFill>
                <a:schemeClr val="bg1"/>
              </a:solidFill>
              <a:ln>
                <a:solidFill>
                  <a:srgbClr val="C00000"/>
                </a:solidFill>
              </a:ln>
              <a:effectLst/>
            </c:spPr>
            <c:extLst>
              <c:ext xmlns:c16="http://schemas.microsoft.com/office/drawing/2014/chart" uri="{C3380CC4-5D6E-409C-BE32-E72D297353CC}">
                <c16:uniqueId val="{0000000C-3C84-4063-8EE4-AD6891FC79F1}"/>
              </c:ext>
            </c:extLst>
          </c:dPt>
          <c:val>
            <c:numRef>
              <c:f>Text!$K$426</c:f>
              <c:numCache>
                <c:formatCode>General</c:formatCode>
                <c:ptCount val="1"/>
                <c:pt idx="0">
                  <c:v>0.15</c:v>
                </c:pt>
              </c:numCache>
            </c:numRef>
          </c:val>
          <c:extLst>
            <c:ext xmlns:c16="http://schemas.microsoft.com/office/drawing/2014/chart" uri="{C3380CC4-5D6E-409C-BE32-E72D297353CC}">
              <c16:uniqueId val="{0000000B-3C84-4063-8EE4-AD6891FC79F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C0000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val>
            <c:numRef>
              <c:f>Text!$K$410:$L$410</c:f>
              <c:numCache>
                <c:formatCode>General</c:formatCode>
                <c:ptCount val="2"/>
                <c:pt idx="0">
                  <c:v>0.5</c:v>
                </c:pt>
                <c:pt idx="1">
                  <c:v>0.5</c:v>
                </c:pt>
              </c:numCache>
            </c:numRef>
          </c:val>
          <c:extLst>
            <c:ext xmlns:c16="http://schemas.microsoft.com/office/drawing/2014/chart" uri="{C3380CC4-5D6E-409C-BE32-E72D297353CC}">
              <c16:uniqueId val="{00000000-5DEE-4419-A646-D9A7EDEE8F1E}"/>
            </c:ext>
          </c:extLst>
        </c:ser>
        <c:ser>
          <c:idx val="1"/>
          <c:order val="1"/>
          <c:spPr>
            <a:solidFill>
              <a:srgbClr val="FFD1D1"/>
            </a:solidFill>
            <a:ln>
              <a:solidFill>
                <a:srgbClr val="C00000"/>
              </a:solidFill>
            </a:ln>
            <a:effectLst/>
          </c:spPr>
          <c:invertIfNegative val="0"/>
          <c:val>
            <c:numRef>
              <c:f>Text!$K$411:$L$411</c:f>
              <c:numCache>
                <c:formatCode>General</c:formatCode>
                <c:ptCount val="2"/>
                <c:pt idx="0">
                  <c:v>0.15</c:v>
                </c:pt>
                <c:pt idx="1">
                  <c:v>0.15</c:v>
                </c:pt>
              </c:numCache>
            </c:numRef>
          </c:val>
          <c:extLst>
            <c:ext xmlns:c16="http://schemas.microsoft.com/office/drawing/2014/chart" uri="{C3380CC4-5D6E-409C-BE32-E72D297353CC}">
              <c16:uniqueId val="{00000001-5DEE-4419-A646-D9A7EDEE8F1E}"/>
            </c:ext>
          </c:extLst>
        </c:ser>
        <c:ser>
          <c:idx val="2"/>
          <c:order val="2"/>
          <c:spPr>
            <a:solidFill>
              <a:srgbClr val="FFD1D1"/>
            </a:solidFill>
            <a:ln>
              <a:solidFill>
                <a:srgbClr val="C00000"/>
              </a:solidFill>
            </a:ln>
            <a:effectLst/>
          </c:spPr>
          <c:invertIfNegative val="0"/>
          <c:val>
            <c:numRef>
              <c:f>Text!$K$412:$L$412</c:f>
              <c:numCache>
                <c:formatCode>General</c:formatCode>
                <c:ptCount val="2"/>
                <c:pt idx="0">
                  <c:v>0.2</c:v>
                </c:pt>
                <c:pt idx="1">
                  <c:v>1.0000000000000009E-2</c:v>
                </c:pt>
              </c:numCache>
            </c:numRef>
          </c:val>
          <c:extLst>
            <c:ext xmlns:c16="http://schemas.microsoft.com/office/drawing/2014/chart" uri="{C3380CC4-5D6E-409C-BE32-E72D297353CC}">
              <c16:uniqueId val="{00000002-5DEE-4419-A646-D9A7EDEE8F1E}"/>
            </c:ext>
          </c:extLst>
        </c:ser>
        <c:ser>
          <c:idx val="3"/>
          <c:order val="3"/>
          <c:spPr>
            <a:solidFill>
              <a:srgbClr val="FFD1D1"/>
            </a:solidFill>
            <a:ln>
              <a:noFill/>
            </a:ln>
            <a:effectLst/>
          </c:spPr>
          <c:invertIfNegative val="0"/>
          <c:val>
            <c:numRef>
              <c:f>Text!$K$413:$L$413</c:f>
              <c:numCache>
                <c:formatCode>General</c:formatCode>
                <c:ptCount val="2"/>
                <c:pt idx="0">
                  <c:v>5.0000000000000044E-2</c:v>
                </c:pt>
                <c:pt idx="1">
                  <c:v>0</c:v>
                </c:pt>
              </c:numCache>
            </c:numRef>
          </c:val>
          <c:extLst>
            <c:ext xmlns:c16="http://schemas.microsoft.com/office/drawing/2014/chart" uri="{C3380CC4-5D6E-409C-BE32-E72D297353CC}">
              <c16:uniqueId val="{00000003-5DEE-4419-A646-D9A7EDEE8F1E}"/>
            </c:ext>
          </c:extLst>
        </c:ser>
        <c:ser>
          <c:idx val="4"/>
          <c:order val="4"/>
          <c:spPr>
            <a:solidFill>
              <a:sysClr val="window" lastClr="FFFFFF"/>
            </a:solidFill>
            <a:ln>
              <a:solidFill>
                <a:srgbClr val="C00000"/>
              </a:solidFill>
            </a:ln>
            <a:effectLst/>
          </c:spPr>
          <c:invertIfNegative val="0"/>
          <c:val>
            <c:numRef>
              <c:f>Text!$K$414:$L$414</c:f>
              <c:numCache>
                <c:formatCode>General</c:formatCode>
                <c:ptCount val="2"/>
                <c:pt idx="0">
                  <c:v>9.999999999999995E-2</c:v>
                </c:pt>
                <c:pt idx="1">
                  <c:v>0.19</c:v>
                </c:pt>
              </c:numCache>
            </c:numRef>
          </c:val>
          <c:extLst>
            <c:ext xmlns:c16="http://schemas.microsoft.com/office/drawing/2014/chart" uri="{C3380CC4-5D6E-409C-BE32-E72D297353CC}">
              <c16:uniqueId val="{00000004-5DEE-4419-A646-D9A7EDEE8F1E}"/>
            </c:ext>
          </c:extLst>
        </c:ser>
        <c:ser>
          <c:idx val="5"/>
          <c:order val="5"/>
          <c:spPr>
            <a:solidFill>
              <a:sysClr val="window" lastClr="FFFFFF"/>
            </a:solidFill>
            <a:ln>
              <a:solidFill>
                <a:srgbClr val="C00000"/>
              </a:solidFill>
            </a:ln>
            <a:effectLst/>
          </c:spPr>
          <c:invertIfNegative val="0"/>
          <c:val>
            <c:numRef>
              <c:f>Text!$K$415:$L$415</c:f>
              <c:numCache>
                <c:formatCode>General</c:formatCode>
                <c:ptCount val="2"/>
                <c:pt idx="0">
                  <c:v>0</c:v>
                </c:pt>
                <c:pt idx="1">
                  <c:v>0</c:v>
                </c:pt>
              </c:numCache>
            </c:numRef>
          </c:val>
          <c:extLst>
            <c:ext xmlns:c16="http://schemas.microsoft.com/office/drawing/2014/chart" uri="{C3380CC4-5D6E-409C-BE32-E72D297353CC}">
              <c16:uniqueId val="{00000005-5DEE-4419-A646-D9A7EDEE8F1E}"/>
            </c:ext>
          </c:extLst>
        </c:ser>
        <c:ser>
          <c:idx val="6"/>
          <c:order val="6"/>
          <c:spPr>
            <a:solidFill>
              <a:sysClr val="window" lastClr="FFFFFF"/>
            </a:solidFill>
            <a:ln>
              <a:solidFill>
                <a:srgbClr val="C00000"/>
              </a:solidFill>
            </a:ln>
            <a:effectLst/>
          </c:spPr>
          <c:invertIfNegative val="0"/>
          <c:val>
            <c:numRef>
              <c:f>Text!$K$416:$L$416</c:f>
              <c:numCache>
                <c:formatCode>General</c:formatCode>
                <c:ptCount val="2"/>
                <c:pt idx="0">
                  <c:v>0</c:v>
                </c:pt>
                <c:pt idx="1">
                  <c:v>0</c:v>
                </c:pt>
              </c:numCache>
            </c:numRef>
          </c:val>
          <c:extLst>
            <c:ext xmlns:c16="http://schemas.microsoft.com/office/drawing/2014/chart" uri="{C3380CC4-5D6E-409C-BE32-E72D297353CC}">
              <c16:uniqueId val="{00000006-5DEE-4419-A646-D9A7EDEE8F1E}"/>
            </c:ext>
          </c:extLst>
        </c:ser>
        <c:ser>
          <c:idx val="7"/>
          <c:order val="7"/>
          <c:spPr>
            <a:solidFill>
              <a:schemeClr val="accent2">
                <a:lumMod val="60000"/>
              </a:schemeClr>
            </a:solidFill>
            <a:ln>
              <a:solidFill>
                <a:srgbClr val="C00000"/>
              </a:solidFill>
            </a:ln>
            <a:effectLst/>
          </c:spPr>
          <c:invertIfNegative val="0"/>
          <c:dPt>
            <c:idx val="0"/>
            <c:invertIfNegative val="0"/>
            <c:bubble3D val="0"/>
            <c:spPr>
              <a:solidFill>
                <a:sysClr val="window" lastClr="FFFFFF"/>
              </a:solidFill>
              <a:ln>
                <a:solidFill>
                  <a:srgbClr val="C00000"/>
                </a:solidFill>
              </a:ln>
              <a:effectLst/>
            </c:spPr>
            <c:extLst>
              <c:ext xmlns:c16="http://schemas.microsoft.com/office/drawing/2014/chart" uri="{C3380CC4-5D6E-409C-BE32-E72D297353CC}">
                <c16:uniqueId val="{00000008-5DEE-4419-A646-D9A7EDEE8F1E}"/>
              </c:ext>
            </c:extLst>
          </c:dPt>
          <c:dPt>
            <c:idx val="1"/>
            <c:invertIfNegative val="0"/>
            <c:bubble3D val="0"/>
            <c:spPr>
              <a:solidFill>
                <a:sysClr val="window" lastClr="FFFFFF"/>
              </a:solidFill>
              <a:ln>
                <a:solidFill>
                  <a:srgbClr val="C00000"/>
                </a:solidFill>
              </a:ln>
              <a:effectLst/>
            </c:spPr>
            <c:extLst>
              <c:ext xmlns:c16="http://schemas.microsoft.com/office/drawing/2014/chart" uri="{C3380CC4-5D6E-409C-BE32-E72D297353CC}">
                <c16:uniqueId val="{0000000A-5DEE-4419-A646-D9A7EDEE8F1E}"/>
              </c:ext>
            </c:extLst>
          </c:dPt>
          <c:val>
            <c:numRef>
              <c:f>Text!$K$417:$L$417</c:f>
              <c:numCache>
                <c:formatCode>General</c:formatCode>
                <c:ptCount val="2"/>
                <c:pt idx="0">
                  <c:v>0</c:v>
                </c:pt>
                <c:pt idx="1">
                  <c:v>0.15</c:v>
                </c:pt>
              </c:numCache>
            </c:numRef>
          </c:val>
          <c:extLst>
            <c:ext xmlns:c16="http://schemas.microsoft.com/office/drawing/2014/chart" uri="{C3380CC4-5D6E-409C-BE32-E72D297353CC}">
              <c16:uniqueId val="{0000000B-5DEE-4419-A646-D9A7EDEE8F1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C0000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75000"/>
                </a:schemeClr>
              </a:solidFill>
            </a:ln>
            <a:effectLst/>
          </c:spPr>
          <c:invertIfNegative val="0"/>
          <c:val>
            <c:numRef>
              <c:f>Text!$N$384</c:f>
              <c:numCache>
                <c:formatCode>General</c:formatCode>
                <c:ptCount val="1"/>
                <c:pt idx="0">
                  <c:v>0</c:v>
                </c:pt>
              </c:numCache>
            </c:numRef>
          </c:val>
          <c:extLst>
            <c:ext xmlns:c16="http://schemas.microsoft.com/office/drawing/2014/chart" uri="{C3380CC4-5D6E-409C-BE32-E72D297353CC}">
              <c16:uniqueId val="{00000000-3A0A-4BF0-AB49-6815F564BB1E}"/>
            </c:ext>
          </c:extLst>
        </c:ser>
        <c:ser>
          <c:idx val="1"/>
          <c:order val="1"/>
          <c:spPr>
            <a:solidFill>
              <a:schemeClr val="accent4">
                <a:lumMod val="20000"/>
                <a:lumOff val="80000"/>
              </a:schemeClr>
            </a:solidFill>
            <a:ln>
              <a:solidFill>
                <a:schemeClr val="accent4">
                  <a:lumMod val="75000"/>
                </a:schemeClr>
              </a:solidFill>
            </a:ln>
            <a:effectLst/>
          </c:spPr>
          <c:invertIfNegative val="0"/>
          <c:val>
            <c:numRef>
              <c:f>Text!$N$385</c:f>
              <c:numCache>
                <c:formatCode>General</c:formatCode>
                <c:ptCount val="1"/>
                <c:pt idx="0">
                  <c:v>0</c:v>
                </c:pt>
              </c:numCache>
            </c:numRef>
          </c:val>
          <c:extLst>
            <c:ext xmlns:c16="http://schemas.microsoft.com/office/drawing/2014/chart" uri="{C3380CC4-5D6E-409C-BE32-E72D297353CC}">
              <c16:uniqueId val="{00000001-3A0A-4BF0-AB49-6815F564BB1E}"/>
            </c:ext>
          </c:extLst>
        </c:ser>
        <c:ser>
          <c:idx val="2"/>
          <c:order val="2"/>
          <c:spPr>
            <a:solidFill>
              <a:schemeClr val="accent4">
                <a:lumMod val="20000"/>
                <a:lumOff val="80000"/>
              </a:schemeClr>
            </a:solidFill>
            <a:ln>
              <a:solidFill>
                <a:schemeClr val="accent4">
                  <a:lumMod val="75000"/>
                </a:schemeClr>
              </a:solidFill>
            </a:ln>
            <a:effectLst/>
          </c:spPr>
          <c:invertIfNegative val="0"/>
          <c:val>
            <c:numRef>
              <c:f>Text!$N$386</c:f>
              <c:numCache>
                <c:formatCode>General</c:formatCode>
                <c:ptCount val="1"/>
                <c:pt idx="0">
                  <c:v>0</c:v>
                </c:pt>
              </c:numCache>
            </c:numRef>
          </c:val>
          <c:extLst>
            <c:ext xmlns:c16="http://schemas.microsoft.com/office/drawing/2014/chart" uri="{C3380CC4-5D6E-409C-BE32-E72D297353CC}">
              <c16:uniqueId val="{00000002-3A0A-4BF0-AB49-6815F564BB1E}"/>
            </c:ext>
          </c:extLst>
        </c:ser>
        <c:ser>
          <c:idx val="3"/>
          <c:order val="3"/>
          <c:spPr>
            <a:solidFill>
              <a:schemeClr val="accent4"/>
            </a:solidFill>
            <a:ln>
              <a:solidFill>
                <a:schemeClr val="accent4">
                  <a:lumMod val="75000"/>
                </a:schemeClr>
              </a:solidFill>
            </a:ln>
            <a:effectLst/>
          </c:spPr>
          <c:invertIfNegative val="0"/>
          <c:dPt>
            <c:idx val="0"/>
            <c:invertIfNegative val="0"/>
            <c:bubble3D val="0"/>
            <c:spPr>
              <a:solidFill>
                <a:schemeClr val="accent4">
                  <a:lumMod val="20000"/>
                  <a:lumOff val="80000"/>
                </a:schemeClr>
              </a:solidFill>
              <a:ln>
                <a:solidFill>
                  <a:schemeClr val="accent4">
                    <a:lumMod val="75000"/>
                  </a:schemeClr>
                </a:solidFill>
              </a:ln>
              <a:effectLst/>
            </c:spPr>
            <c:extLst>
              <c:ext xmlns:c16="http://schemas.microsoft.com/office/drawing/2014/chart" uri="{C3380CC4-5D6E-409C-BE32-E72D297353CC}">
                <c16:uniqueId val="{0000000C-3A0A-4BF0-AB49-6815F564BB1E}"/>
              </c:ext>
            </c:extLst>
          </c:dPt>
          <c:val>
            <c:numRef>
              <c:f>Text!$N$387</c:f>
              <c:numCache>
                <c:formatCode>General</c:formatCode>
                <c:ptCount val="1"/>
                <c:pt idx="0">
                  <c:v>0</c:v>
                </c:pt>
              </c:numCache>
            </c:numRef>
          </c:val>
          <c:extLst>
            <c:ext xmlns:c16="http://schemas.microsoft.com/office/drawing/2014/chart" uri="{C3380CC4-5D6E-409C-BE32-E72D297353CC}">
              <c16:uniqueId val="{00000003-3A0A-4BF0-AB49-6815F564BB1E}"/>
            </c:ext>
          </c:extLst>
        </c:ser>
        <c:ser>
          <c:idx val="4"/>
          <c:order val="4"/>
          <c:spPr>
            <a:solidFill>
              <a:schemeClr val="bg1"/>
            </a:solidFill>
            <a:ln>
              <a:solidFill>
                <a:schemeClr val="accent4">
                  <a:lumMod val="75000"/>
                </a:schemeClr>
              </a:solidFill>
            </a:ln>
            <a:effectLst/>
          </c:spPr>
          <c:invertIfNegative val="0"/>
          <c:val>
            <c:numRef>
              <c:f>Text!$N$388</c:f>
              <c:numCache>
                <c:formatCode>General</c:formatCode>
                <c:ptCount val="1"/>
                <c:pt idx="0">
                  <c:v>0.5</c:v>
                </c:pt>
              </c:numCache>
            </c:numRef>
          </c:val>
          <c:extLst>
            <c:ext xmlns:c16="http://schemas.microsoft.com/office/drawing/2014/chart" uri="{C3380CC4-5D6E-409C-BE32-E72D297353CC}">
              <c16:uniqueId val="{00000004-3A0A-4BF0-AB49-6815F564BB1E}"/>
            </c:ext>
          </c:extLst>
        </c:ser>
        <c:ser>
          <c:idx val="5"/>
          <c:order val="5"/>
          <c:spPr>
            <a:solidFill>
              <a:schemeClr val="bg1"/>
            </a:solidFill>
            <a:ln>
              <a:solidFill>
                <a:schemeClr val="accent4">
                  <a:lumMod val="75000"/>
                </a:schemeClr>
              </a:solidFill>
            </a:ln>
            <a:effectLst/>
          </c:spPr>
          <c:invertIfNegative val="0"/>
          <c:val>
            <c:numRef>
              <c:f>Text!$N$389</c:f>
              <c:numCache>
                <c:formatCode>General</c:formatCode>
                <c:ptCount val="1"/>
                <c:pt idx="0">
                  <c:v>0.15</c:v>
                </c:pt>
              </c:numCache>
            </c:numRef>
          </c:val>
          <c:extLst>
            <c:ext xmlns:c16="http://schemas.microsoft.com/office/drawing/2014/chart" uri="{C3380CC4-5D6E-409C-BE32-E72D297353CC}">
              <c16:uniqueId val="{00000005-3A0A-4BF0-AB49-6815F564BB1E}"/>
            </c:ext>
          </c:extLst>
        </c:ser>
        <c:ser>
          <c:idx val="6"/>
          <c:order val="6"/>
          <c:spPr>
            <a:solidFill>
              <a:schemeClr val="bg1"/>
            </a:solidFill>
            <a:ln>
              <a:solidFill>
                <a:schemeClr val="accent4">
                  <a:lumMod val="75000"/>
                </a:schemeClr>
              </a:solidFill>
            </a:ln>
            <a:effectLst/>
          </c:spPr>
          <c:invertIfNegative val="0"/>
          <c:val>
            <c:numRef>
              <c:f>Text!$N$390</c:f>
              <c:numCache>
                <c:formatCode>General</c:formatCode>
                <c:ptCount val="1"/>
                <c:pt idx="0">
                  <c:v>0.2</c:v>
                </c:pt>
              </c:numCache>
            </c:numRef>
          </c:val>
          <c:extLst>
            <c:ext xmlns:c16="http://schemas.microsoft.com/office/drawing/2014/chart" uri="{C3380CC4-5D6E-409C-BE32-E72D297353CC}">
              <c16:uniqueId val="{00000006-3A0A-4BF0-AB49-6815F564BB1E}"/>
            </c:ext>
          </c:extLst>
        </c:ser>
        <c:ser>
          <c:idx val="7"/>
          <c:order val="7"/>
          <c:spPr>
            <a:solidFill>
              <a:schemeClr val="bg1"/>
            </a:solidFill>
            <a:ln>
              <a:solidFill>
                <a:schemeClr val="accent4">
                  <a:lumMod val="75000"/>
                </a:schemeClr>
              </a:solidFill>
            </a:ln>
            <a:effectLst/>
          </c:spPr>
          <c:invertIfNegative val="0"/>
          <c:val>
            <c:numRef>
              <c:f>Text!$N$391</c:f>
              <c:numCache>
                <c:formatCode>General</c:formatCode>
                <c:ptCount val="1"/>
                <c:pt idx="0">
                  <c:v>0.15</c:v>
                </c:pt>
              </c:numCache>
            </c:numRef>
          </c:val>
          <c:extLst>
            <c:ext xmlns:c16="http://schemas.microsoft.com/office/drawing/2014/chart" uri="{C3380CC4-5D6E-409C-BE32-E72D297353CC}">
              <c16:uniqueId val="{00000009-3A0A-4BF0-AB49-6815F564BB1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solidFill>
          <a:schemeClr val="bg1"/>
        </a:solidFill>
        <a:ln w="25400">
          <a:noFill/>
        </a:ln>
        <a:effectLst/>
      </c:spPr>
    </c:plotArea>
    <c:plotVisOnly val="1"/>
    <c:dispBlanksAs val="gap"/>
    <c:showDLblsOverMax val="0"/>
  </c:chart>
  <c:spPr>
    <a:solidFill>
      <a:schemeClr val="bg1"/>
    </a:solidFill>
    <a:ln w="9525" cap="flat" cmpd="sng" algn="ctr">
      <a:solidFill>
        <a:schemeClr val="accent4">
          <a:lumMod val="7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50000"/>
                </a:schemeClr>
              </a:solidFill>
            </a:ln>
            <a:effectLst/>
          </c:spPr>
          <c:invertIfNegative val="0"/>
          <c:val>
            <c:numRef>
              <c:f>Text!$K$441</c:f>
              <c:numCache>
                <c:formatCode>General</c:formatCode>
                <c:ptCount val="1"/>
                <c:pt idx="0">
                  <c:v>0.5</c:v>
                </c:pt>
              </c:numCache>
            </c:numRef>
          </c:val>
          <c:extLst>
            <c:ext xmlns:c16="http://schemas.microsoft.com/office/drawing/2014/chart" uri="{C3380CC4-5D6E-409C-BE32-E72D297353CC}">
              <c16:uniqueId val="{00000000-8D5A-4565-8BAF-0B40E2E4230C}"/>
            </c:ext>
          </c:extLst>
        </c:ser>
        <c:ser>
          <c:idx val="1"/>
          <c:order val="1"/>
          <c:spPr>
            <a:solidFill>
              <a:schemeClr val="accent4">
                <a:lumMod val="20000"/>
                <a:lumOff val="80000"/>
              </a:schemeClr>
            </a:solidFill>
            <a:ln>
              <a:solidFill>
                <a:schemeClr val="accent4">
                  <a:lumMod val="50000"/>
                </a:schemeClr>
              </a:solidFill>
            </a:ln>
            <a:effectLst/>
          </c:spPr>
          <c:invertIfNegative val="0"/>
          <c:val>
            <c:numRef>
              <c:f>Text!$K$442</c:f>
              <c:numCache>
                <c:formatCode>General</c:formatCode>
                <c:ptCount val="1"/>
                <c:pt idx="0">
                  <c:v>0.15</c:v>
                </c:pt>
              </c:numCache>
            </c:numRef>
          </c:val>
          <c:extLst>
            <c:ext xmlns:c16="http://schemas.microsoft.com/office/drawing/2014/chart" uri="{C3380CC4-5D6E-409C-BE32-E72D297353CC}">
              <c16:uniqueId val="{00000001-8D5A-4565-8BAF-0B40E2E4230C}"/>
            </c:ext>
          </c:extLst>
        </c:ser>
        <c:ser>
          <c:idx val="2"/>
          <c:order val="2"/>
          <c:spPr>
            <a:solidFill>
              <a:schemeClr val="accent4">
                <a:lumMod val="20000"/>
                <a:lumOff val="80000"/>
              </a:schemeClr>
            </a:solidFill>
            <a:ln>
              <a:solidFill>
                <a:schemeClr val="accent4">
                  <a:lumMod val="50000"/>
                </a:schemeClr>
              </a:solidFill>
            </a:ln>
            <a:effectLst/>
          </c:spPr>
          <c:invertIfNegative val="0"/>
          <c:val>
            <c:numRef>
              <c:f>Text!$K$443</c:f>
              <c:numCache>
                <c:formatCode>General</c:formatCode>
                <c:ptCount val="1"/>
                <c:pt idx="0">
                  <c:v>0.12</c:v>
                </c:pt>
              </c:numCache>
            </c:numRef>
          </c:val>
          <c:extLst>
            <c:ext xmlns:c16="http://schemas.microsoft.com/office/drawing/2014/chart" uri="{C3380CC4-5D6E-409C-BE32-E72D297353CC}">
              <c16:uniqueId val="{00000002-8D5A-4565-8BAF-0B40E2E4230C}"/>
            </c:ext>
          </c:extLst>
        </c:ser>
        <c:ser>
          <c:idx val="3"/>
          <c:order val="3"/>
          <c:spPr>
            <a:solidFill>
              <a:schemeClr val="accent4">
                <a:lumMod val="20000"/>
                <a:lumOff val="80000"/>
              </a:schemeClr>
            </a:solidFill>
            <a:ln>
              <a:solidFill>
                <a:schemeClr val="accent4">
                  <a:lumMod val="50000"/>
                </a:schemeClr>
              </a:solidFill>
            </a:ln>
            <a:effectLst/>
          </c:spPr>
          <c:invertIfNegative val="0"/>
          <c:val>
            <c:numRef>
              <c:f>Text!$K$444</c:f>
              <c:numCache>
                <c:formatCode>General</c:formatCode>
                <c:ptCount val="1"/>
                <c:pt idx="0">
                  <c:v>0</c:v>
                </c:pt>
              </c:numCache>
            </c:numRef>
          </c:val>
          <c:extLst>
            <c:ext xmlns:c16="http://schemas.microsoft.com/office/drawing/2014/chart" uri="{C3380CC4-5D6E-409C-BE32-E72D297353CC}">
              <c16:uniqueId val="{00000003-8D5A-4565-8BAF-0B40E2E4230C}"/>
            </c:ext>
          </c:extLst>
        </c:ser>
        <c:ser>
          <c:idx val="4"/>
          <c:order val="4"/>
          <c:spPr>
            <a:solidFill>
              <a:schemeClr val="bg1"/>
            </a:solidFill>
            <a:ln>
              <a:solidFill>
                <a:schemeClr val="accent4">
                  <a:lumMod val="50000"/>
                </a:schemeClr>
              </a:solidFill>
            </a:ln>
            <a:effectLst/>
          </c:spPr>
          <c:invertIfNegative val="0"/>
          <c:val>
            <c:numRef>
              <c:f>Text!$K$445</c:f>
              <c:numCache>
                <c:formatCode>General</c:formatCode>
                <c:ptCount val="1"/>
                <c:pt idx="0">
                  <c:v>8.0000000000000016E-2</c:v>
                </c:pt>
              </c:numCache>
            </c:numRef>
          </c:val>
          <c:extLst>
            <c:ext xmlns:c16="http://schemas.microsoft.com/office/drawing/2014/chart" uri="{C3380CC4-5D6E-409C-BE32-E72D297353CC}">
              <c16:uniqueId val="{00000004-8D5A-4565-8BAF-0B40E2E4230C}"/>
            </c:ext>
          </c:extLst>
        </c:ser>
        <c:ser>
          <c:idx val="5"/>
          <c:order val="5"/>
          <c:spPr>
            <a:solidFill>
              <a:schemeClr val="bg1"/>
            </a:solidFill>
            <a:ln>
              <a:solidFill>
                <a:schemeClr val="accent4">
                  <a:lumMod val="50000"/>
                </a:schemeClr>
              </a:solidFill>
            </a:ln>
            <a:effectLst/>
          </c:spPr>
          <c:invertIfNegative val="0"/>
          <c:val>
            <c:numRef>
              <c:f>Text!$K$446</c:f>
              <c:numCache>
                <c:formatCode>General</c:formatCode>
                <c:ptCount val="1"/>
                <c:pt idx="0">
                  <c:v>0</c:v>
                </c:pt>
              </c:numCache>
            </c:numRef>
          </c:val>
          <c:extLst>
            <c:ext xmlns:c16="http://schemas.microsoft.com/office/drawing/2014/chart" uri="{C3380CC4-5D6E-409C-BE32-E72D297353CC}">
              <c16:uniqueId val="{00000005-8D5A-4565-8BAF-0B40E2E4230C}"/>
            </c:ext>
          </c:extLst>
        </c:ser>
        <c:ser>
          <c:idx val="6"/>
          <c:order val="6"/>
          <c:spPr>
            <a:solidFill>
              <a:schemeClr val="bg1"/>
            </a:solidFill>
            <a:ln>
              <a:solidFill>
                <a:schemeClr val="accent4">
                  <a:lumMod val="50000"/>
                </a:schemeClr>
              </a:solidFill>
            </a:ln>
            <a:effectLst/>
          </c:spPr>
          <c:invertIfNegative val="0"/>
          <c:val>
            <c:numRef>
              <c:f>Text!$K$447</c:f>
              <c:numCache>
                <c:formatCode>General</c:formatCode>
                <c:ptCount val="1"/>
                <c:pt idx="0">
                  <c:v>0</c:v>
                </c:pt>
              </c:numCache>
            </c:numRef>
          </c:val>
          <c:extLst>
            <c:ext xmlns:c16="http://schemas.microsoft.com/office/drawing/2014/chart" uri="{C3380CC4-5D6E-409C-BE32-E72D297353CC}">
              <c16:uniqueId val="{00000006-8D5A-4565-8BAF-0B40E2E4230C}"/>
            </c:ext>
          </c:extLst>
        </c:ser>
        <c:ser>
          <c:idx val="7"/>
          <c:order val="7"/>
          <c:spPr>
            <a:solidFill>
              <a:schemeClr val="bg1"/>
            </a:solidFill>
            <a:ln>
              <a:solidFill>
                <a:schemeClr val="accent4">
                  <a:lumMod val="50000"/>
                </a:schemeClr>
              </a:solidFill>
            </a:ln>
            <a:effectLst/>
          </c:spPr>
          <c:invertIfNegative val="0"/>
          <c:val>
            <c:numRef>
              <c:f>Text!$K$448</c:f>
              <c:numCache>
                <c:formatCode>General</c:formatCode>
                <c:ptCount val="1"/>
                <c:pt idx="0">
                  <c:v>0.15</c:v>
                </c:pt>
              </c:numCache>
            </c:numRef>
          </c:val>
          <c:extLst>
            <c:ext xmlns:c16="http://schemas.microsoft.com/office/drawing/2014/chart" uri="{C3380CC4-5D6E-409C-BE32-E72D297353CC}">
              <c16:uniqueId val="{00000009-8D5A-4565-8BAF-0B40E2E4230C}"/>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solidFill>
      <a:schemeClr val="bg1"/>
    </a:solidFill>
    <a:ln w="9525" cap="flat" cmpd="sng" algn="ctr">
      <a:solidFill>
        <a:schemeClr val="accent4">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50000"/>
                </a:schemeClr>
              </a:solidFill>
            </a:ln>
            <a:effectLst/>
          </c:spPr>
          <c:invertIfNegative val="0"/>
          <c:val>
            <c:numRef>
              <c:f>Text!$L$441</c:f>
              <c:numCache>
                <c:formatCode>General</c:formatCode>
                <c:ptCount val="1"/>
                <c:pt idx="0">
                  <c:v>0.5</c:v>
                </c:pt>
              </c:numCache>
            </c:numRef>
          </c:val>
          <c:extLst>
            <c:ext xmlns:c16="http://schemas.microsoft.com/office/drawing/2014/chart" uri="{C3380CC4-5D6E-409C-BE32-E72D297353CC}">
              <c16:uniqueId val="{00000000-C591-4F69-85CD-062D18F88B4C}"/>
            </c:ext>
          </c:extLst>
        </c:ser>
        <c:ser>
          <c:idx val="1"/>
          <c:order val="1"/>
          <c:spPr>
            <a:solidFill>
              <a:schemeClr val="accent4">
                <a:lumMod val="20000"/>
                <a:lumOff val="80000"/>
              </a:schemeClr>
            </a:solidFill>
            <a:ln>
              <a:solidFill>
                <a:schemeClr val="accent4">
                  <a:lumMod val="50000"/>
                </a:schemeClr>
              </a:solidFill>
            </a:ln>
            <a:effectLst/>
          </c:spPr>
          <c:invertIfNegative val="0"/>
          <c:val>
            <c:numRef>
              <c:f>Text!$L$442</c:f>
              <c:numCache>
                <c:formatCode>General</c:formatCode>
                <c:ptCount val="1"/>
                <c:pt idx="0">
                  <c:v>0.12</c:v>
                </c:pt>
              </c:numCache>
            </c:numRef>
          </c:val>
          <c:extLst>
            <c:ext xmlns:c16="http://schemas.microsoft.com/office/drawing/2014/chart" uri="{C3380CC4-5D6E-409C-BE32-E72D297353CC}">
              <c16:uniqueId val="{00000001-C591-4F69-85CD-062D18F88B4C}"/>
            </c:ext>
          </c:extLst>
        </c:ser>
        <c:ser>
          <c:idx val="2"/>
          <c:order val="2"/>
          <c:spPr>
            <a:solidFill>
              <a:schemeClr val="accent4">
                <a:lumMod val="20000"/>
                <a:lumOff val="80000"/>
              </a:schemeClr>
            </a:solidFill>
            <a:ln>
              <a:solidFill>
                <a:schemeClr val="accent4">
                  <a:lumMod val="50000"/>
                </a:schemeClr>
              </a:solidFill>
            </a:ln>
            <a:effectLst/>
          </c:spPr>
          <c:invertIfNegative val="0"/>
          <c:val>
            <c:numRef>
              <c:f>Text!$L$443</c:f>
              <c:numCache>
                <c:formatCode>General</c:formatCode>
                <c:ptCount val="1"/>
                <c:pt idx="0">
                  <c:v>0</c:v>
                </c:pt>
              </c:numCache>
            </c:numRef>
          </c:val>
          <c:extLst>
            <c:ext xmlns:c16="http://schemas.microsoft.com/office/drawing/2014/chart" uri="{C3380CC4-5D6E-409C-BE32-E72D297353CC}">
              <c16:uniqueId val="{00000002-C591-4F69-85CD-062D18F88B4C}"/>
            </c:ext>
          </c:extLst>
        </c:ser>
        <c:ser>
          <c:idx val="3"/>
          <c:order val="3"/>
          <c:spPr>
            <a:solidFill>
              <a:schemeClr val="accent4">
                <a:lumMod val="20000"/>
                <a:lumOff val="80000"/>
              </a:schemeClr>
            </a:solidFill>
            <a:ln>
              <a:solidFill>
                <a:schemeClr val="accent4">
                  <a:lumMod val="50000"/>
                </a:schemeClr>
              </a:solidFill>
            </a:ln>
            <a:effectLst/>
          </c:spPr>
          <c:invertIfNegative val="0"/>
          <c:val>
            <c:numRef>
              <c:f>Text!$L$444</c:f>
              <c:numCache>
                <c:formatCode>General</c:formatCode>
                <c:ptCount val="1"/>
                <c:pt idx="0">
                  <c:v>0</c:v>
                </c:pt>
              </c:numCache>
            </c:numRef>
          </c:val>
          <c:extLst>
            <c:ext xmlns:c16="http://schemas.microsoft.com/office/drawing/2014/chart" uri="{C3380CC4-5D6E-409C-BE32-E72D297353CC}">
              <c16:uniqueId val="{00000003-C591-4F69-85CD-062D18F88B4C}"/>
            </c:ext>
          </c:extLst>
        </c:ser>
        <c:ser>
          <c:idx val="4"/>
          <c:order val="4"/>
          <c:spPr>
            <a:solidFill>
              <a:schemeClr val="bg1"/>
            </a:solidFill>
            <a:ln>
              <a:solidFill>
                <a:schemeClr val="accent4">
                  <a:lumMod val="50000"/>
                </a:schemeClr>
              </a:solidFill>
            </a:ln>
            <a:effectLst/>
          </c:spPr>
          <c:invertIfNegative val="0"/>
          <c:val>
            <c:numRef>
              <c:f>Text!$L$445</c:f>
              <c:numCache>
                <c:formatCode>General</c:formatCode>
                <c:ptCount val="1"/>
                <c:pt idx="0">
                  <c:v>0.03</c:v>
                </c:pt>
              </c:numCache>
            </c:numRef>
          </c:val>
          <c:extLst>
            <c:ext xmlns:c16="http://schemas.microsoft.com/office/drawing/2014/chart" uri="{C3380CC4-5D6E-409C-BE32-E72D297353CC}">
              <c16:uniqueId val="{00000004-C591-4F69-85CD-062D18F88B4C}"/>
            </c:ext>
          </c:extLst>
        </c:ser>
        <c:ser>
          <c:idx val="5"/>
          <c:order val="5"/>
          <c:spPr>
            <a:solidFill>
              <a:schemeClr val="bg1"/>
            </a:solidFill>
            <a:ln>
              <a:solidFill>
                <a:schemeClr val="accent4">
                  <a:lumMod val="50000"/>
                </a:schemeClr>
              </a:solidFill>
            </a:ln>
            <a:effectLst/>
          </c:spPr>
          <c:invertIfNegative val="0"/>
          <c:val>
            <c:numRef>
              <c:f>Text!$L$446</c:f>
              <c:numCache>
                <c:formatCode>General</c:formatCode>
                <c:ptCount val="1"/>
                <c:pt idx="0">
                  <c:v>0</c:v>
                </c:pt>
              </c:numCache>
            </c:numRef>
          </c:val>
          <c:extLst>
            <c:ext xmlns:c16="http://schemas.microsoft.com/office/drawing/2014/chart" uri="{C3380CC4-5D6E-409C-BE32-E72D297353CC}">
              <c16:uniqueId val="{00000005-C591-4F69-85CD-062D18F88B4C}"/>
            </c:ext>
          </c:extLst>
        </c:ser>
        <c:ser>
          <c:idx val="6"/>
          <c:order val="6"/>
          <c:spPr>
            <a:solidFill>
              <a:schemeClr val="bg1"/>
            </a:solidFill>
            <a:ln>
              <a:solidFill>
                <a:schemeClr val="accent4">
                  <a:lumMod val="50000"/>
                </a:schemeClr>
              </a:solidFill>
            </a:ln>
            <a:effectLst/>
          </c:spPr>
          <c:invertIfNegative val="0"/>
          <c:val>
            <c:numRef>
              <c:f>Text!$L$447</c:f>
              <c:numCache>
                <c:formatCode>General</c:formatCode>
                <c:ptCount val="1"/>
                <c:pt idx="0">
                  <c:v>0.2</c:v>
                </c:pt>
              </c:numCache>
            </c:numRef>
          </c:val>
          <c:extLst>
            <c:ext xmlns:c16="http://schemas.microsoft.com/office/drawing/2014/chart" uri="{C3380CC4-5D6E-409C-BE32-E72D297353CC}">
              <c16:uniqueId val="{00000006-C591-4F69-85CD-062D18F88B4C}"/>
            </c:ext>
          </c:extLst>
        </c:ser>
        <c:ser>
          <c:idx val="7"/>
          <c:order val="7"/>
          <c:spPr>
            <a:solidFill>
              <a:schemeClr val="bg1"/>
            </a:solidFill>
            <a:ln>
              <a:solidFill>
                <a:schemeClr val="accent4">
                  <a:lumMod val="50000"/>
                </a:schemeClr>
              </a:solidFill>
            </a:ln>
            <a:effectLst/>
          </c:spPr>
          <c:invertIfNegative val="0"/>
          <c:val>
            <c:numRef>
              <c:f>Text!$L$448</c:f>
              <c:numCache>
                <c:formatCode>General</c:formatCode>
                <c:ptCount val="1"/>
                <c:pt idx="0">
                  <c:v>0.15</c:v>
                </c:pt>
              </c:numCache>
            </c:numRef>
          </c:val>
          <c:extLst>
            <c:ext xmlns:c16="http://schemas.microsoft.com/office/drawing/2014/chart" uri="{C3380CC4-5D6E-409C-BE32-E72D297353CC}">
              <c16:uniqueId val="{00000009-C591-4F69-85CD-062D18F88B4C}"/>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chemeClr val="accent4">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50000"/>
                </a:schemeClr>
              </a:solidFill>
            </a:ln>
            <a:effectLst/>
          </c:spPr>
          <c:invertIfNegative val="0"/>
          <c:val>
            <c:numRef>
              <c:f>Text!$M$441</c:f>
              <c:numCache>
                <c:formatCode>General</c:formatCode>
                <c:ptCount val="1"/>
                <c:pt idx="0">
                  <c:v>0.5</c:v>
                </c:pt>
              </c:numCache>
            </c:numRef>
          </c:val>
          <c:extLst>
            <c:ext xmlns:c16="http://schemas.microsoft.com/office/drawing/2014/chart" uri="{C3380CC4-5D6E-409C-BE32-E72D297353CC}">
              <c16:uniqueId val="{00000000-8090-4C34-A346-A8B6B916EB05}"/>
            </c:ext>
          </c:extLst>
        </c:ser>
        <c:ser>
          <c:idx val="1"/>
          <c:order val="1"/>
          <c:spPr>
            <a:solidFill>
              <a:schemeClr val="accent4">
                <a:lumMod val="20000"/>
                <a:lumOff val="80000"/>
              </a:schemeClr>
            </a:solidFill>
            <a:ln>
              <a:solidFill>
                <a:schemeClr val="accent4">
                  <a:lumMod val="50000"/>
                </a:schemeClr>
              </a:solidFill>
            </a:ln>
            <a:effectLst/>
          </c:spPr>
          <c:invertIfNegative val="0"/>
          <c:val>
            <c:numRef>
              <c:f>Text!$M$442</c:f>
              <c:numCache>
                <c:formatCode>General</c:formatCode>
                <c:ptCount val="1"/>
                <c:pt idx="0">
                  <c:v>0.15</c:v>
                </c:pt>
              </c:numCache>
            </c:numRef>
          </c:val>
          <c:extLst>
            <c:ext xmlns:c16="http://schemas.microsoft.com/office/drawing/2014/chart" uri="{C3380CC4-5D6E-409C-BE32-E72D297353CC}">
              <c16:uniqueId val="{00000001-8090-4C34-A346-A8B6B916EB05}"/>
            </c:ext>
          </c:extLst>
        </c:ser>
        <c:ser>
          <c:idx val="2"/>
          <c:order val="2"/>
          <c:spPr>
            <a:solidFill>
              <a:schemeClr val="accent4">
                <a:lumMod val="20000"/>
                <a:lumOff val="80000"/>
              </a:schemeClr>
            </a:solidFill>
            <a:ln>
              <a:solidFill>
                <a:schemeClr val="accent4">
                  <a:lumMod val="50000"/>
                </a:schemeClr>
              </a:solidFill>
            </a:ln>
            <a:effectLst/>
          </c:spPr>
          <c:invertIfNegative val="0"/>
          <c:val>
            <c:numRef>
              <c:f>Text!$M$443</c:f>
              <c:numCache>
                <c:formatCode>General</c:formatCode>
                <c:ptCount val="1"/>
                <c:pt idx="0">
                  <c:v>0.17999999999999994</c:v>
                </c:pt>
              </c:numCache>
            </c:numRef>
          </c:val>
          <c:extLst>
            <c:ext xmlns:c16="http://schemas.microsoft.com/office/drawing/2014/chart" uri="{C3380CC4-5D6E-409C-BE32-E72D297353CC}">
              <c16:uniqueId val="{00000002-8090-4C34-A346-A8B6B916EB05}"/>
            </c:ext>
          </c:extLst>
        </c:ser>
        <c:ser>
          <c:idx val="3"/>
          <c:order val="3"/>
          <c:spPr>
            <a:solidFill>
              <a:schemeClr val="accent4">
                <a:lumMod val="20000"/>
                <a:lumOff val="80000"/>
              </a:schemeClr>
            </a:solidFill>
            <a:ln>
              <a:solidFill>
                <a:schemeClr val="accent4">
                  <a:lumMod val="50000"/>
                </a:schemeClr>
              </a:solidFill>
            </a:ln>
            <a:effectLst/>
          </c:spPr>
          <c:invertIfNegative val="0"/>
          <c:val>
            <c:numRef>
              <c:f>Text!$M$444</c:f>
              <c:numCache>
                <c:formatCode>General</c:formatCode>
                <c:ptCount val="1"/>
                <c:pt idx="0">
                  <c:v>0</c:v>
                </c:pt>
              </c:numCache>
            </c:numRef>
          </c:val>
          <c:extLst>
            <c:ext xmlns:c16="http://schemas.microsoft.com/office/drawing/2014/chart" uri="{C3380CC4-5D6E-409C-BE32-E72D297353CC}">
              <c16:uniqueId val="{00000003-8090-4C34-A346-A8B6B916EB05}"/>
            </c:ext>
          </c:extLst>
        </c:ser>
        <c:ser>
          <c:idx val="4"/>
          <c:order val="4"/>
          <c:spPr>
            <a:solidFill>
              <a:schemeClr val="bg1"/>
            </a:solidFill>
            <a:ln>
              <a:solidFill>
                <a:schemeClr val="accent4">
                  <a:lumMod val="50000"/>
                </a:schemeClr>
              </a:solidFill>
            </a:ln>
            <a:effectLst/>
          </c:spPr>
          <c:invertIfNegative val="0"/>
          <c:val>
            <c:numRef>
              <c:f>Text!$M$445</c:f>
              <c:numCache>
                <c:formatCode>General</c:formatCode>
                <c:ptCount val="1"/>
                <c:pt idx="0">
                  <c:v>2.0000000000000073E-2</c:v>
                </c:pt>
              </c:numCache>
            </c:numRef>
          </c:val>
          <c:extLst>
            <c:ext xmlns:c16="http://schemas.microsoft.com/office/drawing/2014/chart" uri="{C3380CC4-5D6E-409C-BE32-E72D297353CC}">
              <c16:uniqueId val="{00000004-8090-4C34-A346-A8B6B916EB05}"/>
            </c:ext>
          </c:extLst>
        </c:ser>
        <c:ser>
          <c:idx val="5"/>
          <c:order val="5"/>
          <c:spPr>
            <a:solidFill>
              <a:schemeClr val="bg1"/>
            </a:solidFill>
            <a:ln>
              <a:solidFill>
                <a:schemeClr val="accent4">
                  <a:lumMod val="50000"/>
                </a:schemeClr>
              </a:solidFill>
            </a:ln>
            <a:effectLst/>
          </c:spPr>
          <c:invertIfNegative val="0"/>
          <c:val>
            <c:numRef>
              <c:f>Text!$M$446</c:f>
              <c:numCache>
                <c:formatCode>General</c:formatCode>
                <c:ptCount val="1"/>
                <c:pt idx="0">
                  <c:v>0</c:v>
                </c:pt>
              </c:numCache>
            </c:numRef>
          </c:val>
          <c:extLst>
            <c:ext xmlns:c16="http://schemas.microsoft.com/office/drawing/2014/chart" uri="{C3380CC4-5D6E-409C-BE32-E72D297353CC}">
              <c16:uniqueId val="{00000005-8090-4C34-A346-A8B6B916EB05}"/>
            </c:ext>
          </c:extLst>
        </c:ser>
        <c:ser>
          <c:idx val="6"/>
          <c:order val="6"/>
          <c:spPr>
            <a:solidFill>
              <a:schemeClr val="bg1"/>
            </a:solidFill>
            <a:ln>
              <a:solidFill>
                <a:schemeClr val="accent4">
                  <a:lumMod val="50000"/>
                </a:schemeClr>
              </a:solidFill>
            </a:ln>
            <a:effectLst/>
          </c:spPr>
          <c:invertIfNegative val="0"/>
          <c:val>
            <c:numRef>
              <c:f>Text!$M$447</c:f>
              <c:numCache>
                <c:formatCode>General</c:formatCode>
                <c:ptCount val="1"/>
                <c:pt idx="0">
                  <c:v>0</c:v>
                </c:pt>
              </c:numCache>
            </c:numRef>
          </c:val>
          <c:extLst>
            <c:ext xmlns:c16="http://schemas.microsoft.com/office/drawing/2014/chart" uri="{C3380CC4-5D6E-409C-BE32-E72D297353CC}">
              <c16:uniqueId val="{00000006-8090-4C34-A346-A8B6B916EB05}"/>
            </c:ext>
          </c:extLst>
        </c:ser>
        <c:ser>
          <c:idx val="7"/>
          <c:order val="7"/>
          <c:spPr>
            <a:solidFill>
              <a:schemeClr val="bg1"/>
            </a:solidFill>
            <a:ln>
              <a:solidFill>
                <a:schemeClr val="accent4">
                  <a:lumMod val="50000"/>
                </a:schemeClr>
              </a:solidFill>
            </a:ln>
            <a:effectLst/>
          </c:spPr>
          <c:invertIfNegative val="0"/>
          <c:val>
            <c:numRef>
              <c:f>Text!$M$448</c:f>
              <c:numCache>
                <c:formatCode>General</c:formatCode>
                <c:ptCount val="1"/>
                <c:pt idx="0">
                  <c:v>0.15</c:v>
                </c:pt>
              </c:numCache>
            </c:numRef>
          </c:val>
          <c:extLst>
            <c:ext xmlns:c16="http://schemas.microsoft.com/office/drawing/2014/chart" uri="{C3380CC4-5D6E-409C-BE32-E72D297353CC}">
              <c16:uniqueId val="{00000009-8090-4C34-A346-A8B6B916EB05}"/>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chemeClr val="accent4">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50000"/>
                </a:schemeClr>
              </a:solidFill>
            </a:ln>
            <a:effectLst/>
          </c:spPr>
          <c:invertIfNegative val="0"/>
          <c:val>
            <c:numRef>
              <c:f>Text!$N$441</c:f>
              <c:numCache>
                <c:formatCode>General</c:formatCode>
                <c:ptCount val="1"/>
                <c:pt idx="0">
                  <c:v>0.5</c:v>
                </c:pt>
              </c:numCache>
            </c:numRef>
          </c:val>
          <c:extLst>
            <c:ext xmlns:c16="http://schemas.microsoft.com/office/drawing/2014/chart" uri="{C3380CC4-5D6E-409C-BE32-E72D297353CC}">
              <c16:uniqueId val="{00000000-B53A-4A79-8ED9-F457840EB1B9}"/>
            </c:ext>
          </c:extLst>
        </c:ser>
        <c:ser>
          <c:idx val="1"/>
          <c:order val="1"/>
          <c:spPr>
            <a:solidFill>
              <a:schemeClr val="accent4">
                <a:lumMod val="20000"/>
                <a:lumOff val="80000"/>
              </a:schemeClr>
            </a:solidFill>
            <a:ln>
              <a:solidFill>
                <a:schemeClr val="accent4">
                  <a:lumMod val="50000"/>
                </a:schemeClr>
              </a:solidFill>
            </a:ln>
            <a:effectLst/>
          </c:spPr>
          <c:invertIfNegative val="0"/>
          <c:val>
            <c:numRef>
              <c:f>Text!$N$442</c:f>
              <c:numCache>
                <c:formatCode>General</c:formatCode>
                <c:ptCount val="1"/>
                <c:pt idx="0">
                  <c:v>0.15</c:v>
                </c:pt>
              </c:numCache>
            </c:numRef>
          </c:val>
          <c:extLst>
            <c:ext xmlns:c16="http://schemas.microsoft.com/office/drawing/2014/chart" uri="{C3380CC4-5D6E-409C-BE32-E72D297353CC}">
              <c16:uniqueId val="{00000001-B53A-4A79-8ED9-F457840EB1B9}"/>
            </c:ext>
          </c:extLst>
        </c:ser>
        <c:ser>
          <c:idx val="2"/>
          <c:order val="2"/>
          <c:spPr>
            <a:solidFill>
              <a:schemeClr val="accent4">
                <a:lumMod val="20000"/>
                <a:lumOff val="80000"/>
              </a:schemeClr>
            </a:solidFill>
            <a:ln>
              <a:solidFill>
                <a:schemeClr val="accent4">
                  <a:lumMod val="50000"/>
                </a:schemeClr>
              </a:solidFill>
            </a:ln>
            <a:effectLst/>
          </c:spPr>
          <c:invertIfNegative val="0"/>
          <c:val>
            <c:numRef>
              <c:f>Text!$N$443</c:f>
              <c:numCache>
                <c:formatCode>General</c:formatCode>
                <c:ptCount val="1"/>
                <c:pt idx="0">
                  <c:v>0.2</c:v>
                </c:pt>
              </c:numCache>
            </c:numRef>
          </c:val>
          <c:extLst>
            <c:ext xmlns:c16="http://schemas.microsoft.com/office/drawing/2014/chart" uri="{C3380CC4-5D6E-409C-BE32-E72D297353CC}">
              <c16:uniqueId val="{00000002-B53A-4A79-8ED9-F457840EB1B9}"/>
            </c:ext>
          </c:extLst>
        </c:ser>
        <c:ser>
          <c:idx val="3"/>
          <c:order val="3"/>
          <c:spPr>
            <a:solidFill>
              <a:schemeClr val="accent4">
                <a:lumMod val="20000"/>
                <a:lumOff val="80000"/>
              </a:schemeClr>
            </a:solidFill>
            <a:ln>
              <a:solidFill>
                <a:schemeClr val="accent4">
                  <a:lumMod val="50000"/>
                </a:schemeClr>
              </a:solidFill>
            </a:ln>
            <a:effectLst/>
          </c:spPr>
          <c:invertIfNegative val="0"/>
          <c:val>
            <c:numRef>
              <c:f>Text!$N$444</c:f>
              <c:numCache>
                <c:formatCode>General</c:formatCode>
                <c:ptCount val="1"/>
                <c:pt idx="0">
                  <c:v>9.9999999999999978E-2</c:v>
                </c:pt>
              </c:numCache>
            </c:numRef>
          </c:val>
          <c:extLst>
            <c:ext xmlns:c16="http://schemas.microsoft.com/office/drawing/2014/chart" uri="{C3380CC4-5D6E-409C-BE32-E72D297353CC}">
              <c16:uniqueId val="{00000003-B53A-4A79-8ED9-F457840EB1B9}"/>
            </c:ext>
          </c:extLst>
        </c:ser>
        <c:ser>
          <c:idx val="4"/>
          <c:order val="4"/>
          <c:spPr>
            <a:solidFill>
              <a:schemeClr val="bg1"/>
            </a:solidFill>
            <a:ln>
              <a:solidFill>
                <a:schemeClr val="accent4">
                  <a:lumMod val="50000"/>
                </a:schemeClr>
              </a:solidFill>
            </a:ln>
            <a:effectLst/>
          </c:spPr>
          <c:invertIfNegative val="0"/>
          <c:val>
            <c:numRef>
              <c:f>Text!$N$445</c:f>
              <c:numCache>
                <c:formatCode>General</c:formatCode>
                <c:ptCount val="1"/>
                <c:pt idx="0">
                  <c:v>5.0000000000000017E-2</c:v>
                </c:pt>
              </c:numCache>
            </c:numRef>
          </c:val>
          <c:extLst>
            <c:ext xmlns:c16="http://schemas.microsoft.com/office/drawing/2014/chart" uri="{C3380CC4-5D6E-409C-BE32-E72D297353CC}">
              <c16:uniqueId val="{00000004-B53A-4A79-8ED9-F457840EB1B9}"/>
            </c:ext>
          </c:extLst>
        </c:ser>
        <c:ser>
          <c:idx val="5"/>
          <c:order val="5"/>
          <c:spPr>
            <a:solidFill>
              <a:schemeClr val="bg1"/>
            </a:solidFill>
            <a:ln>
              <a:solidFill>
                <a:schemeClr val="accent4">
                  <a:lumMod val="50000"/>
                </a:schemeClr>
              </a:solidFill>
            </a:ln>
            <a:effectLst/>
          </c:spPr>
          <c:invertIfNegative val="0"/>
          <c:val>
            <c:numRef>
              <c:f>Text!$N$446</c:f>
              <c:numCache>
                <c:formatCode>General</c:formatCode>
                <c:ptCount val="1"/>
                <c:pt idx="0">
                  <c:v>0</c:v>
                </c:pt>
              </c:numCache>
            </c:numRef>
          </c:val>
          <c:extLst>
            <c:ext xmlns:c16="http://schemas.microsoft.com/office/drawing/2014/chart" uri="{C3380CC4-5D6E-409C-BE32-E72D297353CC}">
              <c16:uniqueId val="{00000005-B53A-4A79-8ED9-F457840EB1B9}"/>
            </c:ext>
          </c:extLst>
        </c:ser>
        <c:ser>
          <c:idx val="6"/>
          <c:order val="6"/>
          <c:spPr>
            <a:solidFill>
              <a:schemeClr val="bg1"/>
            </a:solidFill>
            <a:ln>
              <a:solidFill>
                <a:schemeClr val="accent4">
                  <a:lumMod val="50000"/>
                </a:schemeClr>
              </a:solidFill>
            </a:ln>
            <a:effectLst/>
          </c:spPr>
          <c:invertIfNegative val="0"/>
          <c:val>
            <c:numRef>
              <c:f>Text!$N$447</c:f>
              <c:numCache>
                <c:formatCode>General</c:formatCode>
                <c:ptCount val="1"/>
                <c:pt idx="0">
                  <c:v>0</c:v>
                </c:pt>
              </c:numCache>
            </c:numRef>
          </c:val>
          <c:extLst>
            <c:ext xmlns:c16="http://schemas.microsoft.com/office/drawing/2014/chart" uri="{C3380CC4-5D6E-409C-BE32-E72D297353CC}">
              <c16:uniqueId val="{00000006-B53A-4A79-8ED9-F457840EB1B9}"/>
            </c:ext>
          </c:extLst>
        </c:ser>
        <c:ser>
          <c:idx val="7"/>
          <c:order val="7"/>
          <c:spPr>
            <a:solidFill>
              <a:schemeClr val="bg1"/>
            </a:solidFill>
            <a:ln>
              <a:solidFill>
                <a:schemeClr val="accent4">
                  <a:lumMod val="50000"/>
                </a:schemeClr>
              </a:solidFill>
            </a:ln>
            <a:effectLst/>
          </c:spPr>
          <c:invertIfNegative val="0"/>
          <c:val>
            <c:numRef>
              <c:f>Text!$N$448</c:f>
              <c:numCache>
                <c:formatCode>General</c:formatCode>
                <c:ptCount val="1"/>
                <c:pt idx="0">
                  <c:v>0</c:v>
                </c:pt>
              </c:numCache>
            </c:numRef>
          </c:val>
          <c:extLst>
            <c:ext xmlns:c16="http://schemas.microsoft.com/office/drawing/2014/chart" uri="{C3380CC4-5D6E-409C-BE32-E72D297353CC}">
              <c16:uniqueId val="{00000007-B53A-4A79-8ED9-F457840EB1B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chemeClr val="accent4">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FFE6E6"/>
            </a:solidFill>
            <a:ln>
              <a:solidFill>
                <a:srgbClr val="FF0000"/>
              </a:solidFill>
            </a:ln>
            <a:effectLst/>
          </c:spPr>
          <c:invertIfNegative val="0"/>
          <c:dPt>
            <c:idx val="0"/>
            <c:invertIfNegative val="0"/>
            <c:bubble3D val="0"/>
            <c:spPr>
              <a:solidFill>
                <a:srgbClr val="FFE6E6"/>
              </a:solidFill>
              <a:ln>
                <a:solidFill>
                  <a:srgbClr val="FF0000"/>
                </a:solidFill>
              </a:ln>
              <a:effectLst/>
            </c:spPr>
            <c:extLst>
              <c:ext xmlns:c16="http://schemas.microsoft.com/office/drawing/2014/chart" uri="{C3380CC4-5D6E-409C-BE32-E72D297353CC}">
                <c16:uniqueId val="{00000001-452D-449E-ACB3-5F8B46DEBCC3}"/>
              </c:ext>
            </c:extLst>
          </c:dPt>
          <c:val>
            <c:numRef>
              <c:f>Text!$K$373</c:f>
              <c:numCache>
                <c:formatCode>0.00</c:formatCode>
                <c:ptCount val="1"/>
                <c:pt idx="0">
                  <c:v>0</c:v>
                </c:pt>
              </c:numCache>
            </c:numRef>
          </c:val>
          <c:extLst>
            <c:ext xmlns:c16="http://schemas.microsoft.com/office/drawing/2014/chart" uri="{C3380CC4-5D6E-409C-BE32-E72D297353CC}">
              <c16:uniqueId val="{00000002-452D-449E-ACB3-5F8B46DEBCC3}"/>
            </c:ext>
          </c:extLst>
        </c:ser>
        <c:ser>
          <c:idx val="1"/>
          <c:order val="1"/>
          <c:spPr>
            <a:solidFill>
              <a:srgbClr val="FFE6E6"/>
            </a:solidFill>
            <a:ln>
              <a:solidFill>
                <a:srgbClr val="FF0000"/>
              </a:solidFill>
            </a:ln>
            <a:effectLst/>
          </c:spPr>
          <c:invertIfNegative val="0"/>
          <c:val>
            <c:numRef>
              <c:f>Text!$K$374</c:f>
              <c:numCache>
                <c:formatCode>0.00</c:formatCode>
                <c:ptCount val="1"/>
                <c:pt idx="0">
                  <c:v>0</c:v>
                </c:pt>
              </c:numCache>
            </c:numRef>
          </c:val>
          <c:extLst>
            <c:ext xmlns:c16="http://schemas.microsoft.com/office/drawing/2014/chart" uri="{C3380CC4-5D6E-409C-BE32-E72D297353CC}">
              <c16:uniqueId val="{00000003-452D-449E-ACB3-5F8B46DEBCC3}"/>
            </c:ext>
          </c:extLst>
        </c:ser>
        <c:ser>
          <c:idx val="2"/>
          <c:order val="2"/>
          <c:spPr>
            <a:solidFill>
              <a:srgbClr val="FFE6E6"/>
            </a:solidFill>
            <a:ln>
              <a:solidFill>
                <a:srgbClr val="FF0000"/>
              </a:solidFill>
            </a:ln>
            <a:effectLst/>
          </c:spPr>
          <c:invertIfNegative val="0"/>
          <c:val>
            <c:numRef>
              <c:f>Text!$K$375</c:f>
              <c:numCache>
                <c:formatCode>0.00</c:formatCode>
                <c:ptCount val="1"/>
                <c:pt idx="0">
                  <c:v>0</c:v>
                </c:pt>
              </c:numCache>
            </c:numRef>
          </c:val>
          <c:extLst>
            <c:ext xmlns:c16="http://schemas.microsoft.com/office/drawing/2014/chart" uri="{C3380CC4-5D6E-409C-BE32-E72D297353CC}">
              <c16:uniqueId val="{00000004-452D-449E-ACB3-5F8B46DEBCC3}"/>
            </c:ext>
          </c:extLst>
        </c:ser>
        <c:ser>
          <c:idx val="3"/>
          <c:order val="3"/>
          <c:spPr>
            <a:solidFill>
              <a:srgbClr val="FFE6E6"/>
            </a:solidFill>
            <a:ln>
              <a:solidFill>
                <a:srgbClr val="FF0000"/>
              </a:solidFill>
            </a:ln>
            <a:effectLst/>
          </c:spPr>
          <c:invertIfNegative val="0"/>
          <c:val>
            <c:numRef>
              <c:f>Text!$K$376</c:f>
              <c:numCache>
                <c:formatCode>0.00</c:formatCode>
                <c:ptCount val="1"/>
                <c:pt idx="0">
                  <c:v>0</c:v>
                </c:pt>
              </c:numCache>
            </c:numRef>
          </c:val>
          <c:extLst>
            <c:ext xmlns:c16="http://schemas.microsoft.com/office/drawing/2014/chart" uri="{C3380CC4-5D6E-409C-BE32-E72D297353CC}">
              <c16:uniqueId val="{00000005-452D-449E-ACB3-5F8B46DEBCC3}"/>
            </c:ext>
          </c:extLst>
        </c:ser>
        <c:ser>
          <c:idx val="4"/>
          <c:order val="4"/>
          <c:spPr>
            <a:solidFill>
              <a:schemeClr val="bg1"/>
            </a:solidFill>
            <a:ln>
              <a:solidFill>
                <a:srgbClr val="FF0000"/>
              </a:solidFill>
            </a:ln>
            <a:effectLst/>
          </c:spPr>
          <c:invertIfNegative val="0"/>
          <c:val>
            <c:numRef>
              <c:f>Text!$K$377</c:f>
              <c:numCache>
                <c:formatCode>0.00</c:formatCode>
                <c:ptCount val="1"/>
                <c:pt idx="0">
                  <c:v>0.5</c:v>
                </c:pt>
              </c:numCache>
            </c:numRef>
          </c:val>
          <c:extLst>
            <c:ext xmlns:c16="http://schemas.microsoft.com/office/drawing/2014/chart" uri="{C3380CC4-5D6E-409C-BE32-E72D297353CC}">
              <c16:uniqueId val="{00000006-452D-449E-ACB3-5F8B46DEBCC3}"/>
            </c:ext>
          </c:extLst>
        </c:ser>
        <c:ser>
          <c:idx val="5"/>
          <c:order val="5"/>
          <c:spPr>
            <a:solidFill>
              <a:schemeClr val="bg1"/>
            </a:solidFill>
            <a:ln>
              <a:solidFill>
                <a:srgbClr val="FF0000"/>
              </a:solidFill>
            </a:ln>
            <a:effectLst/>
          </c:spPr>
          <c:invertIfNegative val="0"/>
          <c:val>
            <c:numRef>
              <c:f>Text!$K$378</c:f>
              <c:numCache>
                <c:formatCode>0.00</c:formatCode>
                <c:ptCount val="1"/>
                <c:pt idx="0">
                  <c:v>0.15</c:v>
                </c:pt>
              </c:numCache>
            </c:numRef>
          </c:val>
          <c:extLst>
            <c:ext xmlns:c16="http://schemas.microsoft.com/office/drawing/2014/chart" uri="{C3380CC4-5D6E-409C-BE32-E72D297353CC}">
              <c16:uniqueId val="{00000007-452D-449E-ACB3-5F8B46DEBCC3}"/>
            </c:ext>
          </c:extLst>
        </c:ser>
        <c:ser>
          <c:idx val="6"/>
          <c:order val="6"/>
          <c:spPr>
            <a:solidFill>
              <a:schemeClr val="bg1"/>
            </a:solidFill>
            <a:ln>
              <a:solidFill>
                <a:srgbClr val="FF0000"/>
              </a:solidFill>
            </a:ln>
            <a:effectLst/>
          </c:spPr>
          <c:invertIfNegative val="0"/>
          <c:val>
            <c:numRef>
              <c:f>Text!$K$379</c:f>
              <c:numCache>
                <c:formatCode>0.00</c:formatCode>
                <c:ptCount val="1"/>
                <c:pt idx="0">
                  <c:v>0.2</c:v>
                </c:pt>
              </c:numCache>
            </c:numRef>
          </c:val>
          <c:extLst>
            <c:ext xmlns:c16="http://schemas.microsoft.com/office/drawing/2014/chart" uri="{C3380CC4-5D6E-409C-BE32-E72D297353CC}">
              <c16:uniqueId val="{00000008-452D-449E-ACB3-5F8B46DEBCC3}"/>
            </c:ext>
          </c:extLst>
        </c:ser>
        <c:ser>
          <c:idx val="7"/>
          <c:order val="7"/>
          <c:spPr>
            <a:solidFill>
              <a:schemeClr val="bg1"/>
            </a:solidFill>
            <a:ln>
              <a:solidFill>
                <a:srgbClr val="FF0000"/>
              </a:solidFill>
            </a:ln>
            <a:effectLst/>
          </c:spPr>
          <c:invertIfNegative val="0"/>
          <c:val>
            <c:numRef>
              <c:f>Text!$K$380</c:f>
              <c:numCache>
                <c:formatCode>0.00</c:formatCode>
                <c:ptCount val="1"/>
                <c:pt idx="0">
                  <c:v>0.15</c:v>
                </c:pt>
              </c:numCache>
            </c:numRef>
          </c:val>
          <c:extLst>
            <c:ext xmlns:c16="http://schemas.microsoft.com/office/drawing/2014/chart" uri="{C3380CC4-5D6E-409C-BE32-E72D297353CC}">
              <c16:uniqueId val="{00000009-452D-449E-ACB3-5F8B46DEBCC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000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rgbClr val="0070C0"/>
              </a:solidFill>
            </a:ln>
            <a:effectLst/>
          </c:spPr>
          <c:invertIfNegative val="0"/>
          <c:dPt>
            <c:idx val="0"/>
            <c:invertIfNegative val="0"/>
            <c:bubble3D val="0"/>
            <c:spPr>
              <a:solidFill>
                <a:srgbClr val="E6FCFF"/>
              </a:solidFill>
              <a:ln>
                <a:solidFill>
                  <a:srgbClr val="0070C0"/>
                </a:solidFill>
              </a:ln>
              <a:effectLst/>
            </c:spPr>
            <c:extLst>
              <c:ext xmlns:c16="http://schemas.microsoft.com/office/drawing/2014/chart" uri="{C3380CC4-5D6E-409C-BE32-E72D297353CC}">
                <c16:uniqueId val="{00000001-39C3-4D43-84EF-AF2053539B21}"/>
              </c:ext>
            </c:extLst>
          </c:dPt>
          <c:val>
            <c:numRef>
              <c:f>Text!$L$373</c:f>
              <c:numCache>
                <c:formatCode>0.00</c:formatCode>
                <c:ptCount val="1"/>
                <c:pt idx="0">
                  <c:v>0</c:v>
                </c:pt>
              </c:numCache>
            </c:numRef>
          </c:val>
          <c:extLst>
            <c:ext xmlns:c16="http://schemas.microsoft.com/office/drawing/2014/chart" uri="{C3380CC4-5D6E-409C-BE32-E72D297353CC}">
              <c16:uniqueId val="{00000002-39C3-4D43-84EF-AF2053539B21}"/>
            </c:ext>
          </c:extLst>
        </c:ser>
        <c:ser>
          <c:idx val="1"/>
          <c:order val="1"/>
          <c:spPr>
            <a:solidFill>
              <a:srgbClr val="E6FCFF"/>
            </a:solidFill>
            <a:ln>
              <a:solidFill>
                <a:srgbClr val="0070C0"/>
              </a:solidFill>
            </a:ln>
            <a:effectLst/>
          </c:spPr>
          <c:invertIfNegative val="0"/>
          <c:val>
            <c:numRef>
              <c:f>Text!$L$374</c:f>
              <c:numCache>
                <c:formatCode>0.00</c:formatCode>
                <c:ptCount val="1"/>
                <c:pt idx="0">
                  <c:v>0</c:v>
                </c:pt>
              </c:numCache>
            </c:numRef>
          </c:val>
          <c:extLst>
            <c:ext xmlns:c16="http://schemas.microsoft.com/office/drawing/2014/chart" uri="{C3380CC4-5D6E-409C-BE32-E72D297353CC}">
              <c16:uniqueId val="{00000003-39C3-4D43-84EF-AF2053539B21}"/>
            </c:ext>
          </c:extLst>
        </c:ser>
        <c:ser>
          <c:idx val="2"/>
          <c:order val="2"/>
          <c:spPr>
            <a:solidFill>
              <a:srgbClr val="E6FCFF"/>
            </a:solidFill>
            <a:ln>
              <a:solidFill>
                <a:srgbClr val="0070C0"/>
              </a:solidFill>
            </a:ln>
            <a:effectLst/>
          </c:spPr>
          <c:invertIfNegative val="0"/>
          <c:val>
            <c:numRef>
              <c:f>Text!$L$375</c:f>
              <c:numCache>
                <c:formatCode>0.00</c:formatCode>
                <c:ptCount val="1"/>
                <c:pt idx="0">
                  <c:v>0</c:v>
                </c:pt>
              </c:numCache>
            </c:numRef>
          </c:val>
          <c:extLst>
            <c:ext xmlns:c16="http://schemas.microsoft.com/office/drawing/2014/chart" uri="{C3380CC4-5D6E-409C-BE32-E72D297353CC}">
              <c16:uniqueId val="{00000004-39C3-4D43-84EF-AF2053539B21}"/>
            </c:ext>
          </c:extLst>
        </c:ser>
        <c:ser>
          <c:idx val="3"/>
          <c:order val="3"/>
          <c:spPr>
            <a:solidFill>
              <a:srgbClr val="E6FCFF"/>
            </a:solidFill>
            <a:ln>
              <a:solidFill>
                <a:srgbClr val="0070C0"/>
              </a:solidFill>
            </a:ln>
            <a:effectLst/>
          </c:spPr>
          <c:invertIfNegative val="0"/>
          <c:val>
            <c:numRef>
              <c:f>Text!$L$376</c:f>
              <c:numCache>
                <c:formatCode>0.00</c:formatCode>
                <c:ptCount val="1"/>
                <c:pt idx="0">
                  <c:v>0</c:v>
                </c:pt>
              </c:numCache>
            </c:numRef>
          </c:val>
          <c:extLst>
            <c:ext xmlns:c16="http://schemas.microsoft.com/office/drawing/2014/chart" uri="{C3380CC4-5D6E-409C-BE32-E72D297353CC}">
              <c16:uniqueId val="{00000005-39C3-4D43-84EF-AF2053539B21}"/>
            </c:ext>
          </c:extLst>
        </c:ser>
        <c:ser>
          <c:idx val="4"/>
          <c:order val="4"/>
          <c:spPr>
            <a:solidFill>
              <a:schemeClr val="bg1"/>
            </a:solidFill>
            <a:ln>
              <a:solidFill>
                <a:srgbClr val="0070C0"/>
              </a:solidFill>
            </a:ln>
            <a:effectLst/>
          </c:spPr>
          <c:invertIfNegative val="0"/>
          <c:val>
            <c:numRef>
              <c:f>Text!$L$377</c:f>
              <c:numCache>
                <c:formatCode>0.00</c:formatCode>
                <c:ptCount val="1"/>
                <c:pt idx="0">
                  <c:v>0.5</c:v>
                </c:pt>
              </c:numCache>
            </c:numRef>
          </c:val>
          <c:extLst>
            <c:ext xmlns:c16="http://schemas.microsoft.com/office/drawing/2014/chart" uri="{C3380CC4-5D6E-409C-BE32-E72D297353CC}">
              <c16:uniqueId val="{00000006-39C3-4D43-84EF-AF2053539B21}"/>
            </c:ext>
          </c:extLst>
        </c:ser>
        <c:ser>
          <c:idx val="5"/>
          <c:order val="5"/>
          <c:spPr>
            <a:solidFill>
              <a:schemeClr val="bg1"/>
            </a:solidFill>
            <a:ln>
              <a:solidFill>
                <a:srgbClr val="0070C0"/>
              </a:solidFill>
            </a:ln>
            <a:effectLst/>
          </c:spPr>
          <c:invertIfNegative val="0"/>
          <c:val>
            <c:numRef>
              <c:f>Text!$L$378</c:f>
              <c:numCache>
                <c:formatCode>0.00</c:formatCode>
                <c:ptCount val="1"/>
                <c:pt idx="0">
                  <c:v>0.15</c:v>
                </c:pt>
              </c:numCache>
            </c:numRef>
          </c:val>
          <c:extLst>
            <c:ext xmlns:c16="http://schemas.microsoft.com/office/drawing/2014/chart" uri="{C3380CC4-5D6E-409C-BE32-E72D297353CC}">
              <c16:uniqueId val="{00000007-39C3-4D43-84EF-AF2053539B21}"/>
            </c:ext>
          </c:extLst>
        </c:ser>
        <c:ser>
          <c:idx val="6"/>
          <c:order val="6"/>
          <c:spPr>
            <a:solidFill>
              <a:schemeClr val="bg1"/>
            </a:solidFill>
            <a:ln>
              <a:solidFill>
                <a:srgbClr val="0070C0"/>
              </a:solidFill>
            </a:ln>
            <a:effectLst/>
          </c:spPr>
          <c:invertIfNegative val="0"/>
          <c:val>
            <c:numRef>
              <c:f>Text!$L$379</c:f>
              <c:numCache>
                <c:formatCode>0.00</c:formatCode>
                <c:ptCount val="1"/>
                <c:pt idx="0">
                  <c:v>0.2</c:v>
                </c:pt>
              </c:numCache>
            </c:numRef>
          </c:val>
          <c:extLst>
            <c:ext xmlns:c16="http://schemas.microsoft.com/office/drawing/2014/chart" uri="{C3380CC4-5D6E-409C-BE32-E72D297353CC}">
              <c16:uniqueId val="{00000008-39C3-4D43-84EF-AF2053539B21}"/>
            </c:ext>
          </c:extLst>
        </c:ser>
        <c:ser>
          <c:idx val="7"/>
          <c:order val="7"/>
          <c:spPr>
            <a:solidFill>
              <a:schemeClr val="bg1"/>
            </a:solidFill>
            <a:ln>
              <a:solidFill>
                <a:srgbClr val="0070C0"/>
              </a:solidFill>
            </a:ln>
            <a:effectLst/>
          </c:spPr>
          <c:invertIfNegative val="0"/>
          <c:val>
            <c:numRef>
              <c:f>Text!$L$380</c:f>
              <c:numCache>
                <c:formatCode>0.00</c:formatCode>
                <c:ptCount val="1"/>
                <c:pt idx="0">
                  <c:v>0.15</c:v>
                </c:pt>
              </c:numCache>
            </c:numRef>
          </c:val>
          <c:extLst>
            <c:ext xmlns:c16="http://schemas.microsoft.com/office/drawing/2014/chart" uri="{C3380CC4-5D6E-409C-BE32-E72D297353CC}">
              <c16:uniqueId val="{00000009-39C3-4D43-84EF-AF2053539B2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1"/>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0070C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4">
                <a:lumMod val="20000"/>
                <a:lumOff val="80000"/>
              </a:schemeClr>
            </a:solidFill>
            <a:ln>
              <a:solidFill>
                <a:schemeClr val="accent4">
                  <a:lumMod val="50000"/>
                </a:schemeClr>
              </a:solidFill>
            </a:ln>
            <a:effectLst/>
          </c:spPr>
          <c:invertIfNegative val="0"/>
          <c:dPt>
            <c:idx val="0"/>
            <c:invertIfNegative val="0"/>
            <c:bubble3D val="0"/>
            <c:spPr>
              <a:solidFill>
                <a:srgbClr val="F3FFE1"/>
              </a:solidFill>
              <a:ln>
                <a:solidFill>
                  <a:schemeClr val="accent6">
                    <a:lumMod val="75000"/>
                  </a:schemeClr>
                </a:solidFill>
              </a:ln>
              <a:effectLst/>
            </c:spPr>
            <c:extLst>
              <c:ext xmlns:c16="http://schemas.microsoft.com/office/drawing/2014/chart" uri="{C3380CC4-5D6E-409C-BE32-E72D297353CC}">
                <c16:uniqueId val="{00000001-159C-4FA1-A39B-9519C6DAB9C3}"/>
              </c:ext>
            </c:extLst>
          </c:dPt>
          <c:val>
            <c:numRef>
              <c:f>Text!$M$373</c:f>
              <c:numCache>
                <c:formatCode>0.00</c:formatCode>
                <c:ptCount val="1"/>
                <c:pt idx="0">
                  <c:v>0</c:v>
                </c:pt>
              </c:numCache>
            </c:numRef>
          </c:val>
          <c:extLst>
            <c:ext xmlns:c16="http://schemas.microsoft.com/office/drawing/2014/chart" uri="{C3380CC4-5D6E-409C-BE32-E72D297353CC}">
              <c16:uniqueId val="{00000002-159C-4FA1-A39B-9519C6DAB9C3}"/>
            </c:ext>
          </c:extLst>
        </c:ser>
        <c:ser>
          <c:idx val="1"/>
          <c:order val="1"/>
          <c:spPr>
            <a:solidFill>
              <a:srgbClr val="F3FFE1"/>
            </a:solidFill>
            <a:ln>
              <a:solidFill>
                <a:schemeClr val="accent6">
                  <a:lumMod val="75000"/>
                </a:schemeClr>
              </a:solidFill>
            </a:ln>
            <a:effectLst/>
          </c:spPr>
          <c:invertIfNegative val="0"/>
          <c:val>
            <c:numRef>
              <c:f>Text!$M$374</c:f>
              <c:numCache>
                <c:formatCode>0.00</c:formatCode>
                <c:ptCount val="1"/>
                <c:pt idx="0">
                  <c:v>0</c:v>
                </c:pt>
              </c:numCache>
            </c:numRef>
          </c:val>
          <c:extLst>
            <c:ext xmlns:c16="http://schemas.microsoft.com/office/drawing/2014/chart" uri="{C3380CC4-5D6E-409C-BE32-E72D297353CC}">
              <c16:uniqueId val="{00000003-159C-4FA1-A39B-9519C6DAB9C3}"/>
            </c:ext>
          </c:extLst>
        </c:ser>
        <c:ser>
          <c:idx val="2"/>
          <c:order val="2"/>
          <c:spPr>
            <a:solidFill>
              <a:srgbClr val="F3FFE1"/>
            </a:solidFill>
            <a:ln>
              <a:solidFill>
                <a:schemeClr val="accent6">
                  <a:lumMod val="75000"/>
                </a:schemeClr>
              </a:solidFill>
            </a:ln>
            <a:effectLst/>
          </c:spPr>
          <c:invertIfNegative val="0"/>
          <c:val>
            <c:numRef>
              <c:f>Text!$M$375</c:f>
              <c:numCache>
                <c:formatCode>0.00</c:formatCode>
                <c:ptCount val="1"/>
                <c:pt idx="0">
                  <c:v>0</c:v>
                </c:pt>
              </c:numCache>
            </c:numRef>
          </c:val>
          <c:extLst>
            <c:ext xmlns:c16="http://schemas.microsoft.com/office/drawing/2014/chart" uri="{C3380CC4-5D6E-409C-BE32-E72D297353CC}">
              <c16:uniqueId val="{00000004-159C-4FA1-A39B-9519C6DAB9C3}"/>
            </c:ext>
          </c:extLst>
        </c:ser>
        <c:ser>
          <c:idx val="3"/>
          <c:order val="3"/>
          <c:spPr>
            <a:solidFill>
              <a:srgbClr val="F3FFE1"/>
            </a:solidFill>
            <a:ln>
              <a:solidFill>
                <a:schemeClr val="accent6">
                  <a:lumMod val="75000"/>
                </a:schemeClr>
              </a:solidFill>
            </a:ln>
            <a:effectLst/>
          </c:spPr>
          <c:invertIfNegative val="0"/>
          <c:val>
            <c:numRef>
              <c:f>Text!$M$376</c:f>
              <c:numCache>
                <c:formatCode>0.00</c:formatCode>
                <c:ptCount val="1"/>
                <c:pt idx="0">
                  <c:v>0</c:v>
                </c:pt>
              </c:numCache>
            </c:numRef>
          </c:val>
          <c:extLst>
            <c:ext xmlns:c16="http://schemas.microsoft.com/office/drawing/2014/chart" uri="{C3380CC4-5D6E-409C-BE32-E72D297353CC}">
              <c16:uniqueId val="{00000005-159C-4FA1-A39B-9519C6DAB9C3}"/>
            </c:ext>
          </c:extLst>
        </c:ser>
        <c:ser>
          <c:idx val="4"/>
          <c:order val="4"/>
          <c:spPr>
            <a:solidFill>
              <a:schemeClr val="bg1"/>
            </a:solidFill>
            <a:ln>
              <a:solidFill>
                <a:schemeClr val="accent6">
                  <a:lumMod val="75000"/>
                </a:schemeClr>
              </a:solidFill>
            </a:ln>
            <a:effectLst/>
          </c:spPr>
          <c:invertIfNegative val="0"/>
          <c:val>
            <c:numRef>
              <c:f>Text!$M$377</c:f>
              <c:numCache>
                <c:formatCode>0.00</c:formatCode>
                <c:ptCount val="1"/>
                <c:pt idx="0">
                  <c:v>0.5</c:v>
                </c:pt>
              </c:numCache>
            </c:numRef>
          </c:val>
          <c:extLst>
            <c:ext xmlns:c16="http://schemas.microsoft.com/office/drawing/2014/chart" uri="{C3380CC4-5D6E-409C-BE32-E72D297353CC}">
              <c16:uniqueId val="{00000006-159C-4FA1-A39B-9519C6DAB9C3}"/>
            </c:ext>
          </c:extLst>
        </c:ser>
        <c:ser>
          <c:idx val="5"/>
          <c:order val="5"/>
          <c:spPr>
            <a:solidFill>
              <a:schemeClr val="bg1"/>
            </a:solidFill>
            <a:ln>
              <a:solidFill>
                <a:schemeClr val="accent6">
                  <a:lumMod val="75000"/>
                </a:schemeClr>
              </a:solidFill>
            </a:ln>
            <a:effectLst/>
          </c:spPr>
          <c:invertIfNegative val="0"/>
          <c:val>
            <c:numRef>
              <c:f>Text!$M$378</c:f>
              <c:numCache>
                <c:formatCode>0.00</c:formatCode>
                <c:ptCount val="1"/>
                <c:pt idx="0">
                  <c:v>0.15</c:v>
                </c:pt>
              </c:numCache>
            </c:numRef>
          </c:val>
          <c:extLst>
            <c:ext xmlns:c16="http://schemas.microsoft.com/office/drawing/2014/chart" uri="{C3380CC4-5D6E-409C-BE32-E72D297353CC}">
              <c16:uniqueId val="{00000007-159C-4FA1-A39B-9519C6DAB9C3}"/>
            </c:ext>
          </c:extLst>
        </c:ser>
        <c:ser>
          <c:idx val="6"/>
          <c:order val="6"/>
          <c:spPr>
            <a:solidFill>
              <a:schemeClr val="bg1"/>
            </a:solidFill>
            <a:ln>
              <a:solidFill>
                <a:schemeClr val="accent6">
                  <a:lumMod val="75000"/>
                </a:schemeClr>
              </a:solidFill>
            </a:ln>
            <a:effectLst/>
          </c:spPr>
          <c:invertIfNegative val="0"/>
          <c:val>
            <c:numRef>
              <c:f>Text!$M$379</c:f>
              <c:numCache>
                <c:formatCode>0.00</c:formatCode>
                <c:ptCount val="1"/>
                <c:pt idx="0">
                  <c:v>0.2</c:v>
                </c:pt>
              </c:numCache>
            </c:numRef>
          </c:val>
          <c:extLst>
            <c:ext xmlns:c16="http://schemas.microsoft.com/office/drawing/2014/chart" uri="{C3380CC4-5D6E-409C-BE32-E72D297353CC}">
              <c16:uniqueId val="{00000008-159C-4FA1-A39B-9519C6DAB9C3}"/>
            </c:ext>
          </c:extLst>
        </c:ser>
        <c:ser>
          <c:idx val="7"/>
          <c:order val="7"/>
          <c:spPr>
            <a:solidFill>
              <a:schemeClr val="bg1"/>
            </a:solidFill>
            <a:ln>
              <a:solidFill>
                <a:schemeClr val="accent6">
                  <a:lumMod val="75000"/>
                </a:schemeClr>
              </a:solidFill>
            </a:ln>
            <a:effectLst/>
          </c:spPr>
          <c:invertIfNegative val="0"/>
          <c:val>
            <c:numRef>
              <c:f>Text!$M$380</c:f>
              <c:numCache>
                <c:formatCode>0.00</c:formatCode>
                <c:ptCount val="1"/>
                <c:pt idx="0">
                  <c:v>0.15</c:v>
                </c:pt>
              </c:numCache>
            </c:numRef>
          </c:val>
          <c:extLst>
            <c:ext xmlns:c16="http://schemas.microsoft.com/office/drawing/2014/chart" uri="{C3380CC4-5D6E-409C-BE32-E72D297353CC}">
              <c16:uniqueId val="{00000009-159C-4FA1-A39B-9519C6DAB9C3}"/>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chemeClr val="accent6">
          <a:lumMod val="7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Text!$X$339:$Y$339</c:f>
              <c:numCache>
                <c:formatCode>0.00</c:formatCode>
                <c:ptCount val="2"/>
                <c:pt idx="0">
                  <c:v>0</c:v>
                </c:pt>
                <c:pt idx="1">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Text!$X$340:$Y$340</c:f>
              <c:numCache>
                <c:formatCode>0.00</c:formatCode>
                <c:ptCount val="2"/>
                <c:pt idx="0">
                  <c:v>0</c:v>
                </c:pt>
                <c:pt idx="1">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Text!$X$341:$Y$341</c:f>
              <c:numCache>
                <c:formatCode>0.00</c:formatCode>
                <c:ptCount val="2"/>
                <c:pt idx="0">
                  <c:v>0</c:v>
                </c:pt>
                <c:pt idx="1">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Text!$X$342:$Y$342</c:f>
              <c:numCache>
                <c:formatCode>0.00</c:formatCode>
                <c:ptCount val="2"/>
                <c:pt idx="0">
                  <c:v>0</c:v>
                </c:pt>
                <c:pt idx="1">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Text!$X$343:$Y$343</c:f>
              <c:numCache>
                <c:formatCode>0.00</c:formatCode>
                <c:ptCount val="2"/>
                <c:pt idx="0">
                  <c:v>0.5</c:v>
                </c:pt>
                <c:pt idx="1">
                  <c:v>0.5</c:v>
                </c:pt>
              </c:numCache>
            </c:numRef>
          </c:val>
          <c:extLst>
            <c:ext xmlns:c16="http://schemas.microsoft.com/office/drawing/2014/chart" uri="{C3380CC4-5D6E-409C-BE32-E72D297353CC}">
              <c16:uniqueId val="{00000010-1368-4A89-9771-4ABC1140AA19}"/>
            </c:ext>
          </c:extLst>
        </c:ser>
        <c:ser>
          <c:idx val="5"/>
          <c:order val="5"/>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Text!$X$344:$Y$344</c:f>
              <c:numCache>
                <c:formatCode>0.00</c:formatCode>
                <c:ptCount val="2"/>
                <c:pt idx="0">
                  <c:v>0.15</c:v>
                </c:pt>
                <c:pt idx="1">
                  <c:v>0.15</c:v>
                </c:pt>
              </c:numCache>
            </c:numRef>
          </c:val>
          <c:extLst>
            <c:ext xmlns:c16="http://schemas.microsoft.com/office/drawing/2014/chart" uri="{C3380CC4-5D6E-409C-BE32-E72D297353CC}">
              <c16:uniqueId val="{00000011-1368-4A89-9771-4ABC1140AA19}"/>
            </c:ext>
          </c:extLst>
        </c:ser>
        <c:ser>
          <c:idx val="6"/>
          <c:order val="6"/>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Text!$X$345:$Y$345</c:f>
              <c:numCache>
                <c:formatCode>0.00</c:formatCode>
                <c:ptCount val="2"/>
                <c:pt idx="0">
                  <c:v>0.2</c:v>
                </c:pt>
                <c:pt idx="1">
                  <c:v>0.2</c:v>
                </c:pt>
              </c:numCache>
            </c:numRef>
          </c:val>
          <c:extLst>
            <c:ext xmlns:c16="http://schemas.microsoft.com/office/drawing/2014/chart" uri="{C3380CC4-5D6E-409C-BE32-E72D297353CC}">
              <c16:uniqueId val="{00000012-1368-4A89-9771-4ABC1140AA19}"/>
            </c:ext>
          </c:extLst>
        </c:ser>
        <c:ser>
          <c:idx val="7"/>
          <c:order val="7"/>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Text!$X$346:$Y$346</c:f>
              <c:numCache>
                <c:formatCode>0.00</c:formatCode>
                <c:ptCount val="2"/>
                <c:pt idx="0">
                  <c:v>0.15</c:v>
                </c:pt>
                <c:pt idx="1">
                  <c:v>0.15</c:v>
                </c:pt>
              </c:numCache>
            </c:numRef>
          </c:val>
          <c:extLst>
            <c:ext xmlns:c16="http://schemas.microsoft.com/office/drawing/2014/chart" uri="{C3380CC4-5D6E-409C-BE32-E72D297353CC}">
              <c16:uniqueId val="{00000013-1368-4A89-9771-4ABC1140AA1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Text!$Q$339:$T$339</c15:sqref>
                  </c15:fullRef>
                </c:ext>
              </c:extLst>
              <c:f>Text!$R$339:$S$339</c:f>
              <c:numCache>
                <c:formatCode>0.00</c:formatCode>
                <c:ptCount val="2"/>
                <c:pt idx="0">
                  <c:v>0</c:v>
                </c:pt>
                <c:pt idx="1">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Text!$Q$340:$T$340</c15:sqref>
                  </c15:fullRef>
                </c:ext>
              </c:extLst>
              <c:f>Text!$R$340:$S$340</c:f>
              <c:numCache>
                <c:formatCode>0.00</c:formatCode>
                <c:ptCount val="2"/>
                <c:pt idx="0">
                  <c:v>0</c:v>
                </c:pt>
                <c:pt idx="1">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Text!$Q$341:$T$341</c15:sqref>
                  </c15:fullRef>
                </c:ext>
              </c:extLst>
              <c:f>Text!$R$341:$S$341</c:f>
              <c:numCache>
                <c:formatCode>0.00</c:formatCode>
                <c:ptCount val="2"/>
                <c:pt idx="0">
                  <c:v>0</c:v>
                </c:pt>
                <c:pt idx="1">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Text!$Q$342:$T$342</c15:sqref>
                  </c15:fullRef>
                </c:ext>
              </c:extLst>
              <c:f>Text!$R$342:$S$342</c:f>
              <c:numCache>
                <c:formatCode>0.00</c:formatCode>
                <c:ptCount val="2"/>
                <c:pt idx="0">
                  <c:v>0</c:v>
                </c:pt>
                <c:pt idx="1">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Text!$Q$343:$T$343</c15:sqref>
                  </c15:fullRef>
                </c:ext>
              </c:extLst>
              <c:f>Text!$R$343:$S$343</c:f>
              <c:numCache>
                <c:formatCode>0.00</c:formatCode>
                <c:ptCount val="2"/>
                <c:pt idx="0">
                  <c:v>-0.5</c:v>
                </c:pt>
                <c:pt idx="1">
                  <c:v>-0.5</c:v>
                </c:pt>
              </c:numCache>
            </c:numRef>
          </c:val>
          <c:extLst>
            <c:ext xmlns:c16="http://schemas.microsoft.com/office/drawing/2014/chart" uri="{C3380CC4-5D6E-409C-BE32-E72D297353CC}">
              <c16:uniqueId val="{0000000C-9693-4BB7-BE1B-1DFEEDF6285F}"/>
            </c:ext>
          </c:extLst>
        </c:ser>
        <c:ser>
          <c:idx val="5"/>
          <c:order val="5"/>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Text!$Q$344:$T$344</c15:sqref>
                  </c15:fullRef>
                </c:ext>
              </c:extLst>
              <c:f>Text!$R$344:$S$344</c:f>
              <c:numCache>
                <c:formatCode>0.00</c:formatCode>
                <c:ptCount val="2"/>
                <c:pt idx="0">
                  <c:v>-0.15</c:v>
                </c:pt>
                <c:pt idx="1">
                  <c:v>-0.15</c:v>
                </c:pt>
              </c:numCache>
            </c:numRef>
          </c:val>
          <c:extLst>
            <c:ext xmlns:c16="http://schemas.microsoft.com/office/drawing/2014/chart" uri="{C3380CC4-5D6E-409C-BE32-E72D297353CC}">
              <c16:uniqueId val="{0000000D-9693-4BB7-BE1B-1DFEEDF6285F}"/>
            </c:ext>
          </c:extLst>
        </c:ser>
        <c:ser>
          <c:idx val="6"/>
          <c:order val="6"/>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Text!$Q$345:$T$345</c15:sqref>
                  </c15:fullRef>
                </c:ext>
              </c:extLst>
              <c:f>Text!$R$345:$S$345</c:f>
              <c:numCache>
                <c:formatCode>0.00</c:formatCode>
                <c:ptCount val="2"/>
                <c:pt idx="0">
                  <c:v>-0.2</c:v>
                </c:pt>
                <c:pt idx="1">
                  <c:v>-0.2</c:v>
                </c:pt>
              </c:numCache>
            </c:numRef>
          </c:val>
          <c:extLst>
            <c:ext xmlns:c16="http://schemas.microsoft.com/office/drawing/2014/chart" uri="{C3380CC4-5D6E-409C-BE32-E72D297353CC}">
              <c16:uniqueId val="{0000000E-9693-4BB7-BE1B-1DFEEDF6285F}"/>
            </c:ext>
          </c:extLst>
        </c:ser>
        <c:ser>
          <c:idx val="7"/>
          <c:order val="7"/>
          <c:spPr>
            <a:solidFill>
              <a:sysClr val="window" lastClr="FFFFFF"/>
            </a:solidFill>
            <a:ln>
              <a:solidFill>
                <a:srgbClr val="E30613"/>
              </a:solidFill>
            </a:ln>
            <a:effectLst/>
          </c:spPr>
          <c:invertIfNegative val="0"/>
          <c:cat>
            <c:strLit>
              <c:ptCount val="2"/>
              <c:pt idx="0">
                <c:v>2</c:v>
              </c:pt>
              <c:pt idx="1">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Text!$Q$346:$T$346</c15:sqref>
                  </c15:fullRef>
                </c:ext>
              </c:extLst>
              <c:f>Text!$R$346:$S$346</c:f>
              <c:numCache>
                <c:formatCode>0.00</c:formatCode>
                <c:ptCount val="2"/>
                <c:pt idx="0">
                  <c:v>-0.15</c:v>
                </c:pt>
                <c:pt idx="1">
                  <c:v>-0.15</c:v>
                </c:pt>
              </c:numCache>
            </c:numRef>
          </c:val>
          <c:extLst>
            <c:ext xmlns:c16="http://schemas.microsoft.com/office/drawing/2014/chart" uri="{C3380CC4-5D6E-409C-BE32-E72D297353CC}">
              <c16:uniqueId val="{0000000F-9693-4BB7-BE1B-1DFEEDF6285F}"/>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Text!$Q$339:$T$339</c15:sqref>
                  </c15:fullRef>
                </c:ext>
              </c:extLst>
              <c:f>Text!$T$339</c:f>
              <c:numCache>
                <c:formatCode>0.00</c:formatCode>
                <c:ptCount val="1"/>
                <c:pt idx="0">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Text!$Q$340:$T$340</c15:sqref>
                  </c15:fullRef>
                </c:ext>
              </c:extLst>
              <c:f>Text!$T$340</c:f>
              <c:numCache>
                <c:formatCode>0.00</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Text!$Q$341:$T$341</c15:sqref>
                  </c15:fullRef>
                </c:ext>
              </c:extLst>
              <c:f>Text!$T$341</c:f>
              <c:numCache>
                <c:formatCode>0.00</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Text!$Q$342:$T$342</c15:sqref>
                  </c15:fullRef>
                </c:ext>
              </c:extLst>
              <c:f>Text!$T$342</c:f>
              <c:numCache>
                <c:formatCode>0.00</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Text!$Q$343:$T$343</c15:sqref>
                  </c15:fullRef>
                </c:ext>
              </c:extLst>
              <c:f>Text!$T$343</c:f>
              <c:numCache>
                <c:formatCode>0.00</c:formatCode>
                <c:ptCount val="1"/>
                <c:pt idx="0">
                  <c:v>-0.5</c:v>
                </c:pt>
              </c:numCache>
            </c:numRef>
          </c:val>
          <c:extLst>
            <c:ext xmlns:c16="http://schemas.microsoft.com/office/drawing/2014/chart" uri="{C3380CC4-5D6E-409C-BE32-E72D297353CC}">
              <c16:uniqueId val="{0000000C-9693-4BB7-BE1B-1DFEEDF6285F}"/>
            </c:ext>
          </c:extLst>
        </c:ser>
        <c:ser>
          <c:idx val="5"/>
          <c:order val="5"/>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Text!$Q$344:$T$344</c15:sqref>
                  </c15:fullRef>
                </c:ext>
              </c:extLst>
              <c:f>Text!$T$344</c:f>
              <c:numCache>
                <c:formatCode>0.00</c:formatCode>
                <c:ptCount val="1"/>
                <c:pt idx="0">
                  <c:v>-0.15</c:v>
                </c:pt>
              </c:numCache>
            </c:numRef>
          </c:val>
          <c:extLst>
            <c:ext xmlns:c16="http://schemas.microsoft.com/office/drawing/2014/chart" uri="{C3380CC4-5D6E-409C-BE32-E72D297353CC}">
              <c16:uniqueId val="{0000000D-9693-4BB7-BE1B-1DFEEDF6285F}"/>
            </c:ext>
          </c:extLst>
        </c:ser>
        <c:ser>
          <c:idx val="6"/>
          <c:order val="6"/>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Text!$Q$345:$T$345</c15:sqref>
                  </c15:fullRef>
                </c:ext>
              </c:extLst>
              <c:f>Text!$T$345</c:f>
              <c:numCache>
                <c:formatCode>0.00</c:formatCode>
                <c:ptCount val="1"/>
                <c:pt idx="0">
                  <c:v>-0.2</c:v>
                </c:pt>
              </c:numCache>
            </c:numRef>
          </c:val>
          <c:extLst>
            <c:ext xmlns:c16="http://schemas.microsoft.com/office/drawing/2014/chart" uri="{C3380CC4-5D6E-409C-BE32-E72D297353CC}">
              <c16:uniqueId val="{0000000E-9693-4BB7-BE1B-1DFEEDF6285F}"/>
            </c:ext>
          </c:extLst>
        </c:ser>
        <c:ser>
          <c:idx val="7"/>
          <c:order val="7"/>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Text!$Q$346:$T$346</c15:sqref>
                  </c15:fullRef>
                </c:ext>
              </c:extLst>
              <c:f>Text!$T$346</c:f>
              <c:numCache>
                <c:formatCode>0.00</c:formatCode>
                <c:ptCount val="1"/>
                <c:pt idx="0">
                  <c:v>-0.15</c:v>
                </c:pt>
              </c:numCache>
            </c:numRef>
          </c:val>
          <c:extLst>
            <c:ext xmlns:c16="http://schemas.microsoft.com/office/drawing/2014/chart" uri="{C3380CC4-5D6E-409C-BE32-E72D297353CC}">
              <c16:uniqueId val="{0000000F-9693-4BB7-BE1B-1DFEEDF6285F}"/>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Text!$Z$339</c:f>
              <c:numCache>
                <c:formatCode>0.00</c:formatCode>
                <c:ptCount val="1"/>
                <c:pt idx="0">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Text!$Z$340</c:f>
              <c:numCache>
                <c:formatCode>0.00</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Text!$Z$341</c:f>
              <c:numCache>
                <c:formatCode>0.00</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Text!$Z$342</c:f>
              <c:numCache>
                <c:formatCode>0.00</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Text!$Z$343</c:f>
              <c:numCache>
                <c:formatCode>0.00</c:formatCode>
                <c:ptCount val="1"/>
                <c:pt idx="0">
                  <c:v>0.5</c:v>
                </c:pt>
              </c:numCache>
            </c:numRef>
          </c:val>
          <c:extLst>
            <c:ext xmlns:c16="http://schemas.microsoft.com/office/drawing/2014/chart" uri="{C3380CC4-5D6E-409C-BE32-E72D297353CC}">
              <c16:uniqueId val="{00000010-1368-4A89-9771-4ABC1140AA19}"/>
            </c:ext>
          </c:extLst>
        </c:ser>
        <c:ser>
          <c:idx val="5"/>
          <c:order val="5"/>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Text!$Z$344</c:f>
              <c:numCache>
                <c:formatCode>0.00</c:formatCode>
                <c:ptCount val="1"/>
                <c:pt idx="0">
                  <c:v>0.15</c:v>
                </c:pt>
              </c:numCache>
            </c:numRef>
          </c:val>
          <c:extLst>
            <c:ext xmlns:c16="http://schemas.microsoft.com/office/drawing/2014/chart" uri="{C3380CC4-5D6E-409C-BE32-E72D297353CC}">
              <c16:uniqueId val="{00000011-1368-4A89-9771-4ABC1140AA19}"/>
            </c:ext>
          </c:extLst>
        </c:ser>
        <c:ser>
          <c:idx val="6"/>
          <c:order val="6"/>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Text!$Z$345</c:f>
              <c:numCache>
                <c:formatCode>0.00</c:formatCode>
                <c:ptCount val="1"/>
                <c:pt idx="0">
                  <c:v>0.2</c:v>
                </c:pt>
              </c:numCache>
            </c:numRef>
          </c:val>
          <c:extLst>
            <c:ext xmlns:c16="http://schemas.microsoft.com/office/drawing/2014/chart" uri="{C3380CC4-5D6E-409C-BE32-E72D297353CC}">
              <c16:uniqueId val="{00000012-1368-4A89-9771-4ABC1140AA19}"/>
            </c:ext>
          </c:extLst>
        </c:ser>
        <c:ser>
          <c:idx val="7"/>
          <c:order val="7"/>
          <c:spPr>
            <a:solidFill>
              <a:sysClr val="window" lastClr="FFFFFF"/>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Text!$Z$346</c:f>
              <c:numCache>
                <c:formatCode>0.00</c:formatCode>
                <c:ptCount val="1"/>
                <c:pt idx="0">
                  <c:v>0.15</c:v>
                </c:pt>
              </c:numCache>
            </c:numRef>
          </c:val>
          <c:extLst>
            <c:ext xmlns:c16="http://schemas.microsoft.com/office/drawing/2014/chart" uri="{C3380CC4-5D6E-409C-BE32-E72D297353CC}">
              <c16:uniqueId val="{00000013-1368-4A89-9771-4ABC1140AA1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Text!$Q$339:$T$339</c15:sqref>
                  </c15:fullRef>
                </c:ext>
              </c:extLst>
              <c:f>Text!$Q$339</c:f>
              <c:numCache>
                <c:formatCode>0.00</c:formatCode>
                <c:ptCount val="1"/>
                <c:pt idx="0">
                  <c:v>0</c:v>
                </c:pt>
              </c:numCache>
            </c:numRef>
          </c:val>
          <c:extLst>
            <c:ext xmlns:c16="http://schemas.microsoft.com/office/drawing/2014/chart" uri="{C3380CC4-5D6E-409C-BE32-E72D297353CC}">
              <c16:uniqueId val="{00000000-1C48-4969-A79A-AA8D470293DE}"/>
            </c:ext>
          </c:extLst>
        </c:ser>
        <c:ser>
          <c:idx val="1"/>
          <c:order val="1"/>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Text!$Q$340:$T$340</c15:sqref>
                  </c15:fullRef>
                </c:ext>
              </c:extLst>
              <c:f>Text!$Q$340</c:f>
              <c:numCache>
                <c:formatCode>0.00</c:formatCode>
                <c:ptCount val="1"/>
                <c:pt idx="0">
                  <c:v>0</c:v>
                </c:pt>
              </c:numCache>
            </c:numRef>
          </c:val>
          <c:extLst>
            <c:ext xmlns:c16="http://schemas.microsoft.com/office/drawing/2014/chart" uri="{C3380CC4-5D6E-409C-BE32-E72D297353CC}">
              <c16:uniqueId val="{00000001-1C48-4969-A79A-AA8D470293DE}"/>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Text!$Q$341:$T$341</c15:sqref>
                  </c15:fullRef>
                </c:ext>
              </c:extLst>
              <c:f>Text!$Q$341</c:f>
              <c:numCache>
                <c:formatCode>0.00</c:formatCode>
                <c:ptCount val="1"/>
                <c:pt idx="0">
                  <c:v>0</c:v>
                </c:pt>
              </c:numCache>
            </c:numRef>
          </c:val>
          <c:extLst>
            <c:ext xmlns:c16="http://schemas.microsoft.com/office/drawing/2014/chart" uri="{C3380CC4-5D6E-409C-BE32-E72D297353CC}">
              <c16:uniqueId val="{00000002-1C48-4969-A79A-AA8D470293DE}"/>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Text!$Q$342:$T$342</c15:sqref>
                  </c15:fullRef>
                </c:ext>
              </c:extLst>
              <c:f>Text!$Q$342</c:f>
              <c:numCache>
                <c:formatCode>0.00</c:formatCode>
                <c:ptCount val="1"/>
                <c:pt idx="0">
                  <c:v>0</c:v>
                </c:pt>
              </c:numCache>
            </c:numRef>
          </c:val>
          <c:extLst>
            <c:ext xmlns:c16="http://schemas.microsoft.com/office/drawing/2014/chart" uri="{C3380CC4-5D6E-409C-BE32-E72D297353CC}">
              <c16:uniqueId val="{00000003-1C48-4969-A79A-AA8D470293DE}"/>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Text!$Q$343:$T$343</c15:sqref>
                  </c15:fullRef>
                </c:ext>
              </c:extLst>
              <c:f>Text!$Q$343</c:f>
              <c:numCache>
                <c:formatCode>0.00</c:formatCode>
                <c:ptCount val="1"/>
                <c:pt idx="0">
                  <c:v>-0.5</c:v>
                </c:pt>
              </c:numCache>
            </c:numRef>
          </c:val>
          <c:extLst>
            <c:ext xmlns:c16="http://schemas.microsoft.com/office/drawing/2014/chart" uri="{C3380CC4-5D6E-409C-BE32-E72D297353CC}">
              <c16:uniqueId val="{00000004-1C48-4969-A79A-AA8D470293DE}"/>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Text!$Q$344:$T$344</c15:sqref>
                  </c15:fullRef>
                </c:ext>
              </c:extLst>
              <c:f>Text!$Q$344</c:f>
              <c:numCache>
                <c:formatCode>0.00</c:formatCode>
                <c:ptCount val="1"/>
                <c:pt idx="0">
                  <c:v>-0.15</c:v>
                </c:pt>
              </c:numCache>
            </c:numRef>
          </c:val>
          <c:extLst>
            <c:ext xmlns:c16="http://schemas.microsoft.com/office/drawing/2014/chart" uri="{C3380CC4-5D6E-409C-BE32-E72D297353CC}">
              <c16:uniqueId val="{00000005-1C48-4969-A79A-AA8D470293DE}"/>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Text!$Q$345:$T$345</c15:sqref>
                  </c15:fullRef>
                </c:ext>
              </c:extLst>
              <c:f>Text!$Q$345</c:f>
              <c:numCache>
                <c:formatCode>0.00</c:formatCode>
                <c:ptCount val="1"/>
                <c:pt idx="0">
                  <c:v>-0.2</c:v>
                </c:pt>
              </c:numCache>
            </c:numRef>
          </c:val>
          <c:extLst>
            <c:ext xmlns:c16="http://schemas.microsoft.com/office/drawing/2014/chart" uri="{C3380CC4-5D6E-409C-BE32-E72D297353CC}">
              <c16:uniqueId val="{00000006-1C48-4969-A79A-AA8D470293DE}"/>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Text!$Q$346:$T$346</c15:sqref>
                  </c15:fullRef>
                </c:ext>
              </c:extLst>
              <c:f>Text!$Q$346</c:f>
              <c:numCache>
                <c:formatCode>0.00</c:formatCode>
                <c:ptCount val="1"/>
                <c:pt idx="0">
                  <c:v>-0.15</c:v>
                </c:pt>
              </c:numCache>
            </c:numRef>
          </c:val>
          <c:extLst>
            <c:ext xmlns:c16="http://schemas.microsoft.com/office/drawing/2014/chart" uri="{C3380CC4-5D6E-409C-BE32-E72D297353CC}">
              <c16:uniqueId val="{00000007-1C48-4969-A79A-AA8D470293D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Text!$W$339:$Z$339</c15:sqref>
                  </c15:fullRef>
                </c:ext>
              </c:extLst>
              <c:f>Text!$W$339</c:f>
              <c:numCache>
                <c:formatCode>0.00</c:formatCode>
                <c:ptCount val="1"/>
                <c:pt idx="0">
                  <c:v>0</c:v>
                </c:pt>
              </c:numCache>
            </c:numRef>
          </c:val>
          <c:extLst>
            <c:ext xmlns:c16="http://schemas.microsoft.com/office/drawing/2014/chart" uri="{C3380CC4-5D6E-409C-BE32-E72D297353CC}">
              <c16:uniqueId val="{00000000-56A0-4D9A-BC51-177AA1CA361E}"/>
            </c:ext>
          </c:extLst>
        </c:ser>
        <c:ser>
          <c:idx val="1"/>
          <c:order val="1"/>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Text!$W$340:$Z$340</c15:sqref>
                  </c15:fullRef>
                </c:ext>
              </c:extLst>
              <c:f>Text!$W$340</c:f>
              <c:numCache>
                <c:formatCode>0.00</c:formatCode>
                <c:ptCount val="1"/>
                <c:pt idx="0">
                  <c:v>0</c:v>
                </c:pt>
              </c:numCache>
            </c:numRef>
          </c:val>
          <c:extLst>
            <c:ext xmlns:c16="http://schemas.microsoft.com/office/drawing/2014/chart" uri="{C3380CC4-5D6E-409C-BE32-E72D297353CC}">
              <c16:uniqueId val="{00000001-56A0-4D9A-BC51-177AA1CA361E}"/>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Text!$W$341:$Z$341</c15:sqref>
                  </c15:fullRef>
                </c:ext>
              </c:extLst>
              <c:f>Text!$W$341</c:f>
              <c:numCache>
                <c:formatCode>0.00</c:formatCode>
                <c:ptCount val="1"/>
                <c:pt idx="0">
                  <c:v>0</c:v>
                </c:pt>
              </c:numCache>
            </c:numRef>
          </c:val>
          <c:extLst>
            <c:ext xmlns:c16="http://schemas.microsoft.com/office/drawing/2014/chart" uri="{C3380CC4-5D6E-409C-BE32-E72D297353CC}">
              <c16:uniqueId val="{00000002-56A0-4D9A-BC51-177AA1CA361E}"/>
            </c:ext>
          </c:extLst>
        </c:ser>
        <c:ser>
          <c:idx val="3"/>
          <c:order val="3"/>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Text!$W$342:$Z$342</c15:sqref>
                  </c15:fullRef>
                </c:ext>
              </c:extLst>
              <c:f>Text!$W$342</c:f>
              <c:numCache>
                <c:formatCode>0.00</c:formatCode>
                <c:ptCount val="1"/>
                <c:pt idx="0">
                  <c:v>0</c:v>
                </c:pt>
              </c:numCache>
            </c:numRef>
          </c:val>
          <c:extLst>
            <c:ext xmlns:c16="http://schemas.microsoft.com/office/drawing/2014/chart" uri="{C3380CC4-5D6E-409C-BE32-E72D297353CC}">
              <c16:uniqueId val="{00000003-56A0-4D9A-BC51-177AA1CA361E}"/>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Text!$W$343:$Z$343</c15:sqref>
                  </c15:fullRef>
                </c:ext>
              </c:extLst>
              <c:f>Text!$W$343</c:f>
              <c:numCache>
                <c:formatCode>0.00</c:formatCode>
                <c:ptCount val="1"/>
                <c:pt idx="0">
                  <c:v>0.5</c:v>
                </c:pt>
              </c:numCache>
            </c:numRef>
          </c:val>
          <c:extLst>
            <c:ext xmlns:c16="http://schemas.microsoft.com/office/drawing/2014/chart" uri="{C3380CC4-5D6E-409C-BE32-E72D297353CC}">
              <c16:uniqueId val="{00000004-56A0-4D9A-BC51-177AA1CA361E}"/>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Text!$W$344:$Z$344</c15:sqref>
                  </c15:fullRef>
                </c:ext>
              </c:extLst>
              <c:f>Text!$W$344</c:f>
              <c:numCache>
                <c:formatCode>0.00</c:formatCode>
                <c:ptCount val="1"/>
                <c:pt idx="0">
                  <c:v>0.15</c:v>
                </c:pt>
              </c:numCache>
            </c:numRef>
          </c:val>
          <c:extLst>
            <c:ext xmlns:c16="http://schemas.microsoft.com/office/drawing/2014/chart" uri="{C3380CC4-5D6E-409C-BE32-E72D297353CC}">
              <c16:uniqueId val="{00000005-56A0-4D9A-BC51-177AA1CA361E}"/>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Text!$W$345:$Z$345</c15:sqref>
                  </c15:fullRef>
                </c:ext>
              </c:extLst>
              <c:f>Text!$W$345</c:f>
              <c:numCache>
                <c:formatCode>0.00</c:formatCode>
                <c:ptCount val="1"/>
                <c:pt idx="0">
                  <c:v>0.2</c:v>
                </c:pt>
              </c:numCache>
            </c:numRef>
          </c:val>
          <c:extLst>
            <c:ext xmlns:c16="http://schemas.microsoft.com/office/drawing/2014/chart" uri="{C3380CC4-5D6E-409C-BE32-E72D297353CC}">
              <c16:uniqueId val="{00000006-56A0-4D9A-BC51-177AA1CA361E}"/>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Text!$W$346:$Z$346</c15:sqref>
                  </c15:fullRef>
                </c:ext>
              </c:extLst>
              <c:f>Text!$W$346</c:f>
              <c:numCache>
                <c:formatCode>0.00</c:formatCode>
                <c:ptCount val="1"/>
                <c:pt idx="0">
                  <c:v>0.15</c:v>
                </c:pt>
              </c:numCache>
            </c:numRef>
          </c:val>
          <c:extLst>
            <c:ext xmlns:c16="http://schemas.microsoft.com/office/drawing/2014/chart" uri="{C3380CC4-5D6E-409C-BE32-E72D297353CC}">
              <c16:uniqueId val="{00000007-56A0-4D9A-BC51-177AA1CA361E}"/>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val>
            <c:numRef>
              <c:f>Text!$Q$350:$S$350</c:f>
              <c:numCache>
                <c:formatCode>0.00</c:formatCode>
                <c:ptCount val="3"/>
                <c:pt idx="0">
                  <c:v>0</c:v>
                </c:pt>
                <c:pt idx="1">
                  <c:v>0</c:v>
                </c:pt>
                <c:pt idx="2">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val>
            <c:numRef>
              <c:f>Text!$Q$351:$S$351</c:f>
              <c:numCache>
                <c:formatCode>0.00</c:formatCode>
                <c:ptCount val="3"/>
                <c:pt idx="0">
                  <c:v>0</c:v>
                </c:pt>
                <c:pt idx="1">
                  <c:v>0</c:v>
                </c:pt>
                <c:pt idx="2">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val>
            <c:numRef>
              <c:f>Text!$Q$352:$S$352</c:f>
              <c:numCache>
                <c:formatCode>0.00</c:formatCode>
                <c:ptCount val="3"/>
                <c:pt idx="0">
                  <c:v>0</c:v>
                </c:pt>
                <c:pt idx="1">
                  <c:v>0</c:v>
                </c:pt>
                <c:pt idx="2">
                  <c:v>0</c:v>
                </c:pt>
              </c:numCache>
            </c:numRef>
          </c:val>
          <c:extLst>
            <c:ext xmlns:c16="http://schemas.microsoft.com/office/drawing/2014/chart" uri="{C3380CC4-5D6E-409C-BE32-E72D297353CC}">
              <c16:uniqueId val="{00000002-C47B-4343-87C8-8244576EA510}"/>
            </c:ext>
          </c:extLst>
        </c:ser>
        <c:ser>
          <c:idx val="3"/>
          <c:order val="3"/>
          <c:spPr>
            <a:solidFill>
              <a:schemeClr val="accent4"/>
            </a:solidFill>
            <a:ln>
              <a:noFill/>
            </a:ln>
            <a:effectLst/>
          </c:spPr>
          <c:invertIfNegative val="0"/>
          <c:val>
            <c:numRef>
              <c:f>Text!$Q$353:$S$353</c:f>
              <c:numCache>
                <c:formatCode>0.00</c:formatCode>
                <c:ptCount val="3"/>
                <c:pt idx="0">
                  <c:v>0</c:v>
                </c:pt>
                <c:pt idx="1">
                  <c:v>0</c:v>
                </c:pt>
                <c:pt idx="2">
                  <c:v>0</c:v>
                </c:pt>
              </c:numCache>
            </c:numRef>
          </c:val>
          <c:extLst>
            <c:ext xmlns:c16="http://schemas.microsoft.com/office/drawing/2014/chart" uri="{C3380CC4-5D6E-409C-BE32-E72D297353CC}">
              <c16:uniqueId val="{0000000B-95EB-48A8-B72E-A1081C2FCD44}"/>
            </c:ext>
          </c:extLst>
        </c:ser>
        <c:ser>
          <c:idx val="5"/>
          <c:order val="4"/>
          <c:spPr>
            <a:solidFill>
              <a:sysClr val="window" lastClr="FFFFFF"/>
            </a:solidFill>
            <a:ln>
              <a:solidFill>
                <a:srgbClr val="5DC4E1"/>
              </a:solidFill>
            </a:ln>
            <a:effectLst/>
          </c:spPr>
          <c:invertIfNegative val="0"/>
          <c:val>
            <c:numRef>
              <c:f>Text!$Q$355:$S$355</c:f>
              <c:numCache>
                <c:formatCode>0.00</c:formatCode>
                <c:ptCount val="3"/>
                <c:pt idx="0">
                  <c:v>-0.5</c:v>
                </c:pt>
                <c:pt idx="1">
                  <c:v>-0.5</c:v>
                </c:pt>
                <c:pt idx="2">
                  <c:v>-0.5</c:v>
                </c:pt>
              </c:numCache>
            </c:numRef>
          </c:val>
          <c:extLst>
            <c:ext xmlns:c16="http://schemas.microsoft.com/office/drawing/2014/chart" uri="{C3380CC4-5D6E-409C-BE32-E72D297353CC}">
              <c16:uniqueId val="{0000000D-95EB-48A8-B72E-A1081C2FCD44}"/>
            </c:ext>
          </c:extLst>
        </c:ser>
        <c:ser>
          <c:idx val="6"/>
          <c:order val="5"/>
          <c:spPr>
            <a:solidFill>
              <a:sysClr val="window" lastClr="FFFFFF"/>
            </a:solidFill>
            <a:ln>
              <a:solidFill>
                <a:srgbClr val="5DC4E1"/>
              </a:solidFill>
            </a:ln>
            <a:effectLst/>
          </c:spPr>
          <c:invertIfNegative val="0"/>
          <c:val>
            <c:numRef>
              <c:f>Text!$Q$356:$S$356</c:f>
              <c:numCache>
                <c:formatCode>0.00</c:formatCode>
                <c:ptCount val="3"/>
                <c:pt idx="0">
                  <c:v>-0.15</c:v>
                </c:pt>
                <c:pt idx="1">
                  <c:v>-0.15</c:v>
                </c:pt>
                <c:pt idx="2">
                  <c:v>-0.15</c:v>
                </c:pt>
              </c:numCache>
            </c:numRef>
          </c:val>
          <c:extLst>
            <c:ext xmlns:c16="http://schemas.microsoft.com/office/drawing/2014/chart" uri="{C3380CC4-5D6E-409C-BE32-E72D297353CC}">
              <c16:uniqueId val="{0000000E-95EB-48A8-B72E-A1081C2FCD44}"/>
            </c:ext>
          </c:extLst>
        </c:ser>
        <c:ser>
          <c:idx val="7"/>
          <c:order val="6"/>
          <c:spPr>
            <a:solidFill>
              <a:sysClr val="window" lastClr="FFFFFF"/>
            </a:solidFill>
            <a:ln>
              <a:solidFill>
                <a:srgbClr val="5DC4E1"/>
              </a:solidFill>
            </a:ln>
            <a:effectLst/>
          </c:spPr>
          <c:invertIfNegative val="0"/>
          <c:val>
            <c:numRef>
              <c:f>Text!$Q$357:$S$357</c:f>
              <c:numCache>
                <c:formatCode>0.00</c:formatCode>
                <c:ptCount val="3"/>
                <c:pt idx="0">
                  <c:v>-0.2</c:v>
                </c:pt>
                <c:pt idx="1">
                  <c:v>-0.2</c:v>
                </c:pt>
                <c:pt idx="2">
                  <c:v>-0.2</c:v>
                </c:pt>
              </c:numCache>
            </c:numRef>
          </c:val>
          <c:extLst>
            <c:ext xmlns:c16="http://schemas.microsoft.com/office/drawing/2014/chart" uri="{C3380CC4-5D6E-409C-BE32-E72D297353CC}">
              <c16:uniqueId val="{0000000F-95EB-48A8-B72E-A1081C2FCD44}"/>
            </c:ext>
          </c:extLst>
        </c:ser>
        <c:ser>
          <c:idx val="8"/>
          <c:order val="7"/>
          <c:spPr>
            <a:solidFill>
              <a:sysClr val="window" lastClr="FFFFFF"/>
            </a:solidFill>
            <a:ln>
              <a:solidFill>
                <a:srgbClr val="5DC4E1"/>
              </a:solidFill>
            </a:ln>
            <a:effectLst/>
          </c:spPr>
          <c:invertIfNegative val="0"/>
          <c:val>
            <c:numRef>
              <c:f>Text!$Q$358:$S$358</c:f>
              <c:numCache>
                <c:formatCode>0.00</c:formatCode>
                <c:ptCount val="3"/>
                <c:pt idx="0">
                  <c:v>-0.15</c:v>
                </c:pt>
                <c:pt idx="1">
                  <c:v>-0.15</c:v>
                </c:pt>
                <c:pt idx="2">
                  <c:v>-0.15</c:v>
                </c:pt>
              </c:numCache>
            </c:numRef>
          </c:val>
          <c:extLst>
            <c:ext xmlns:c16="http://schemas.microsoft.com/office/drawing/2014/chart" uri="{C3380CC4-5D6E-409C-BE32-E72D297353CC}">
              <c16:uniqueId val="{00000010-95EB-48A8-B72E-A1081C2FCD44}"/>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val>
            <c:numRef>
              <c:f>Text!$W$350:$Y$350</c:f>
              <c:numCache>
                <c:formatCode>0.00</c:formatCode>
                <c:ptCount val="3"/>
                <c:pt idx="0">
                  <c:v>0</c:v>
                </c:pt>
                <c:pt idx="1">
                  <c:v>0</c:v>
                </c:pt>
                <c:pt idx="2">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val>
            <c:numRef>
              <c:f>Text!$W$351:$Y$351</c:f>
              <c:numCache>
                <c:formatCode>0.00</c:formatCode>
                <c:ptCount val="3"/>
                <c:pt idx="0">
                  <c:v>0</c:v>
                </c:pt>
                <c:pt idx="1">
                  <c:v>0</c:v>
                </c:pt>
                <c:pt idx="2">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val>
            <c:numRef>
              <c:f>Text!$W$352:$Y$352</c:f>
              <c:numCache>
                <c:formatCode>0.00</c:formatCode>
                <c:ptCount val="3"/>
                <c:pt idx="0">
                  <c:v>0</c:v>
                </c:pt>
                <c:pt idx="1">
                  <c:v>0</c:v>
                </c:pt>
                <c:pt idx="2">
                  <c:v>0</c:v>
                </c:pt>
              </c:numCache>
            </c:numRef>
          </c:val>
          <c:extLst>
            <c:ext xmlns:c16="http://schemas.microsoft.com/office/drawing/2014/chart" uri="{C3380CC4-5D6E-409C-BE32-E72D297353CC}">
              <c16:uniqueId val="{00000002-C47B-4343-87C8-8244576EA510}"/>
            </c:ext>
          </c:extLst>
        </c:ser>
        <c:ser>
          <c:idx val="3"/>
          <c:order val="3"/>
          <c:spPr>
            <a:solidFill>
              <a:schemeClr val="accent4"/>
            </a:solidFill>
            <a:ln>
              <a:noFill/>
            </a:ln>
            <a:effectLst/>
          </c:spPr>
          <c:invertIfNegative val="0"/>
          <c:val>
            <c:numRef>
              <c:f>Text!$W$353:$Y$353</c:f>
              <c:numCache>
                <c:formatCode>0.00</c:formatCode>
                <c:ptCount val="3"/>
                <c:pt idx="0">
                  <c:v>0</c:v>
                </c:pt>
                <c:pt idx="1">
                  <c:v>0</c:v>
                </c:pt>
                <c:pt idx="2">
                  <c:v>0</c:v>
                </c:pt>
              </c:numCache>
            </c:numRef>
          </c:val>
          <c:extLst>
            <c:ext xmlns:c16="http://schemas.microsoft.com/office/drawing/2014/chart" uri="{C3380CC4-5D6E-409C-BE32-E72D297353CC}">
              <c16:uniqueId val="{0000000B-580B-4B0C-BA4D-70D1A3A771C4}"/>
            </c:ext>
          </c:extLst>
        </c:ser>
        <c:ser>
          <c:idx val="4"/>
          <c:order val="4"/>
          <c:spPr>
            <a:solidFill>
              <a:sysClr val="window" lastClr="FFFFFF"/>
            </a:solidFill>
            <a:ln>
              <a:solidFill>
                <a:srgbClr val="5DC4E1"/>
              </a:solidFill>
            </a:ln>
            <a:effectLst/>
          </c:spPr>
          <c:invertIfNegative val="0"/>
          <c:val>
            <c:numRef>
              <c:f>Text!$W$355:$Y$355</c:f>
              <c:numCache>
                <c:formatCode>0.00</c:formatCode>
                <c:ptCount val="3"/>
                <c:pt idx="0">
                  <c:v>0.5</c:v>
                </c:pt>
                <c:pt idx="1">
                  <c:v>0.5</c:v>
                </c:pt>
                <c:pt idx="2">
                  <c:v>0.5</c:v>
                </c:pt>
              </c:numCache>
            </c:numRef>
          </c:val>
          <c:extLst>
            <c:ext xmlns:c16="http://schemas.microsoft.com/office/drawing/2014/chart" uri="{C3380CC4-5D6E-409C-BE32-E72D297353CC}">
              <c16:uniqueId val="{0000000C-580B-4B0C-BA4D-70D1A3A771C4}"/>
            </c:ext>
          </c:extLst>
        </c:ser>
        <c:ser>
          <c:idx val="5"/>
          <c:order val="5"/>
          <c:spPr>
            <a:solidFill>
              <a:sysClr val="window" lastClr="FFFFFF"/>
            </a:solidFill>
            <a:ln>
              <a:solidFill>
                <a:srgbClr val="5DC4E1"/>
              </a:solidFill>
            </a:ln>
            <a:effectLst/>
          </c:spPr>
          <c:invertIfNegative val="0"/>
          <c:val>
            <c:numRef>
              <c:f>Text!$W$356:$Y$356</c:f>
              <c:numCache>
                <c:formatCode>0.00</c:formatCode>
                <c:ptCount val="3"/>
                <c:pt idx="0">
                  <c:v>0.15</c:v>
                </c:pt>
                <c:pt idx="1">
                  <c:v>0.15</c:v>
                </c:pt>
                <c:pt idx="2">
                  <c:v>0.15</c:v>
                </c:pt>
              </c:numCache>
            </c:numRef>
          </c:val>
          <c:extLst>
            <c:ext xmlns:c16="http://schemas.microsoft.com/office/drawing/2014/chart" uri="{C3380CC4-5D6E-409C-BE32-E72D297353CC}">
              <c16:uniqueId val="{0000000D-580B-4B0C-BA4D-70D1A3A771C4}"/>
            </c:ext>
          </c:extLst>
        </c:ser>
        <c:ser>
          <c:idx val="6"/>
          <c:order val="6"/>
          <c:spPr>
            <a:solidFill>
              <a:sysClr val="window" lastClr="FFFFFF"/>
            </a:solidFill>
            <a:ln>
              <a:solidFill>
                <a:srgbClr val="5DC4E1"/>
              </a:solidFill>
            </a:ln>
            <a:effectLst/>
          </c:spPr>
          <c:invertIfNegative val="0"/>
          <c:val>
            <c:numRef>
              <c:f>Text!$W$357:$Y$357</c:f>
              <c:numCache>
                <c:formatCode>0.00</c:formatCode>
                <c:ptCount val="3"/>
                <c:pt idx="0">
                  <c:v>0.2</c:v>
                </c:pt>
                <c:pt idx="1">
                  <c:v>0.2</c:v>
                </c:pt>
                <c:pt idx="2">
                  <c:v>0.2</c:v>
                </c:pt>
              </c:numCache>
            </c:numRef>
          </c:val>
          <c:extLst>
            <c:ext xmlns:c16="http://schemas.microsoft.com/office/drawing/2014/chart" uri="{C3380CC4-5D6E-409C-BE32-E72D297353CC}">
              <c16:uniqueId val="{0000000E-580B-4B0C-BA4D-70D1A3A771C4}"/>
            </c:ext>
          </c:extLst>
        </c:ser>
        <c:ser>
          <c:idx val="7"/>
          <c:order val="7"/>
          <c:spPr>
            <a:solidFill>
              <a:sysClr val="window" lastClr="FFFFFF"/>
            </a:solidFill>
            <a:ln>
              <a:solidFill>
                <a:srgbClr val="5DC4E1"/>
              </a:solidFill>
            </a:ln>
            <a:effectLst/>
          </c:spPr>
          <c:invertIfNegative val="0"/>
          <c:val>
            <c:numRef>
              <c:f>Text!$W$358:$Y$358</c:f>
              <c:numCache>
                <c:formatCode>0.00</c:formatCode>
                <c:ptCount val="3"/>
                <c:pt idx="0">
                  <c:v>0.15</c:v>
                </c:pt>
                <c:pt idx="1">
                  <c:v>0.15</c:v>
                </c:pt>
                <c:pt idx="2">
                  <c:v>0.15</c:v>
                </c:pt>
              </c:numCache>
            </c:numRef>
          </c:val>
          <c:extLst>
            <c:ext xmlns:c16="http://schemas.microsoft.com/office/drawing/2014/chart" uri="{C3380CC4-5D6E-409C-BE32-E72D297353CC}">
              <c16:uniqueId val="{0000000F-580B-4B0C-BA4D-70D1A3A771C4}"/>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Text!$X$362</c:f>
              <c:numCache>
                <c:formatCode>0.00</c:formatCode>
                <c:ptCount val="1"/>
                <c:pt idx="0">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Text!$X$363</c:f>
              <c:numCache>
                <c:formatCode>0.00</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Text!$X$364</c:f>
              <c:numCache>
                <c:formatCode>0.00</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Text!$X$365</c:f>
              <c:numCache>
                <c:formatCode>0.00</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Text!$X$366</c:f>
              <c:numCache>
                <c:formatCode>0.00</c:formatCode>
                <c:ptCount val="1"/>
                <c:pt idx="0">
                  <c:v>0.5</c:v>
                </c:pt>
              </c:numCache>
            </c:numRef>
          </c:val>
          <c:extLst>
            <c:ext xmlns:c16="http://schemas.microsoft.com/office/drawing/2014/chart" uri="{C3380CC4-5D6E-409C-BE32-E72D297353CC}">
              <c16:uniqueId val="{0000000C-F283-4300-B409-575C104FF351}"/>
            </c:ext>
          </c:extLst>
        </c:ser>
        <c:ser>
          <c:idx val="5"/>
          <c:order val="5"/>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Text!$X$367</c:f>
              <c:numCache>
                <c:formatCode>0.00</c:formatCode>
                <c:ptCount val="1"/>
                <c:pt idx="0">
                  <c:v>0.15</c:v>
                </c:pt>
              </c:numCache>
            </c:numRef>
          </c:val>
          <c:extLst>
            <c:ext xmlns:c16="http://schemas.microsoft.com/office/drawing/2014/chart" uri="{C3380CC4-5D6E-409C-BE32-E72D297353CC}">
              <c16:uniqueId val="{0000000D-F283-4300-B409-575C104FF351}"/>
            </c:ext>
          </c:extLst>
        </c:ser>
        <c:ser>
          <c:idx val="6"/>
          <c:order val="6"/>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Text!$X$368</c:f>
              <c:numCache>
                <c:formatCode>0.00</c:formatCode>
                <c:ptCount val="1"/>
                <c:pt idx="0">
                  <c:v>0.2</c:v>
                </c:pt>
              </c:numCache>
            </c:numRef>
          </c:val>
          <c:extLst>
            <c:ext xmlns:c16="http://schemas.microsoft.com/office/drawing/2014/chart" uri="{C3380CC4-5D6E-409C-BE32-E72D297353CC}">
              <c16:uniqueId val="{0000000E-F283-4300-B409-575C104FF351}"/>
            </c:ext>
          </c:extLst>
        </c:ser>
        <c:ser>
          <c:idx val="7"/>
          <c:order val="7"/>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Text!$X$369</c:f>
              <c:numCache>
                <c:formatCode>0.00</c:formatCode>
                <c:ptCount val="1"/>
                <c:pt idx="0">
                  <c:v>0.15</c:v>
                </c:pt>
              </c:numCache>
            </c:numRef>
          </c:val>
          <c:extLst>
            <c:ext xmlns:c16="http://schemas.microsoft.com/office/drawing/2014/chart" uri="{C3380CC4-5D6E-409C-BE32-E72D297353CC}">
              <c16:uniqueId val="{0000000F-F283-4300-B409-575C104FF351}"/>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Text!$Q$362:$T$362</c15:sqref>
                  </c15:fullRef>
                </c:ext>
              </c:extLst>
              <c:f>Text!$S$362:$T$362</c:f>
              <c:numCache>
                <c:formatCode>0.00</c:formatCode>
                <c:ptCount val="2"/>
                <c:pt idx="0">
                  <c:v>0</c:v>
                </c:pt>
                <c:pt idx="1">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Text!$Q$363:$T$363</c15:sqref>
                  </c15:fullRef>
                </c:ext>
              </c:extLst>
              <c:f>Text!$S$363:$T$363</c:f>
              <c:numCache>
                <c:formatCode>0.00</c:formatCode>
                <c:ptCount val="2"/>
                <c:pt idx="0">
                  <c:v>0</c:v>
                </c:pt>
                <c:pt idx="1">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Text!$Q$364:$T$364</c15:sqref>
                  </c15:fullRef>
                </c:ext>
              </c:extLst>
              <c:f>Text!$S$364:$T$364</c:f>
              <c:numCache>
                <c:formatCode>0.00</c:formatCode>
                <c:ptCount val="2"/>
                <c:pt idx="0">
                  <c:v>0</c:v>
                </c:pt>
                <c:pt idx="1">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Text!$Q$365:$T$365</c15:sqref>
                  </c15:fullRef>
                </c:ext>
              </c:extLst>
              <c:f>Text!$S$365:$T$365</c:f>
              <c:numCache>
                <c:formatCode>0.00</c:formatCode>
                <c:ptCount val="2"/>
                <c:pt idx="0">
                  <c:v>0</c:v>
                </c:pt>
                <c:pt idx="1">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Text!$Q$366:$T$366</c15:sqref>
                  </c15:fullRef>
                </c:ext>
              </c:extLst>
              <c:f>Text!$S$366:$T$366</c:f>
              <c:numCache>
                <c:formatCode>0.00</c:formatCode>
                <c:ptCount val="2"/>
                <c:pt idx="0">
                  <c:v>-0.5</c:v>
                </c:pt>
                <c:pt idx="1">
                  <c:v>-0.5</c:v>
                </c:pt>
              </c:numCache>
            </c:numRef>
          </c:val>
          <c:extLst>
            <c:ext xmlns:c16="http://schemas.microsoft.com/office/drawing/2014/chart" uri="{C3380CC4-5D6E-409C-BE32-E72D297353CC}">
              <c16:uniqueId val="{0000000C-3B11-4C64-A288-1808F98D0216}"/>
            </c:ext>
          </c:extLst>
        </c:ser>
        <c:ser>
          <c:idx val="5"/>
          <c:order val="5"/>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Text!$Q$367:$T$367</c15:sqref>
                  </c15:fullRef>
                </c:ext>
              </c:extLst>
              <c:f>Text!$S$367:$T$367</c:f>
              <c:numCache>
                <c:formatCode>0.00</c:formatCode>
                <c:ptCount val="2"/>
                <c:pt idx="0">
                  <c:v>-0.15</c:v>
                </c:pt>
                <c:pt idx="1">
                  <c:v>-0.15</c:v>
                </c:pt>
              </c:numCache>
            </c:numRef>
          </c:val>
          <c:extLst>
            <c:ext xmlns:c16="http://schemas.microsoft.com/office/drawing/2014/chart" uri="{C3380CC4-5D6E-409C-BE32-E72D297353CC}">
              <c16:uniqueId val="{0000000D-3B11-4C64-A288-1808F98D0216}"/>
            </c:ext>
          </c:extLst>
        </c:ser>
        <c:ser>
          <c:idx val="6"/>
          <c:order val="6"/>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Text!$Q$368:$T$368</c15:sqref>
                  </c15:fullRef>
                </c:ext>
              </c:extLst>
              <c:f>Text!$S$368:$T$368</c:f>
              <c:numCache>
                <c:formatCode>0.00</c:formatCode>
                <c:ptCount val="2"/>
                <c:pt idx="0">
                  <c:v>-0.2</c:v>
                </c:pt>
                <c:pt idx="1">
                  <c:v>-0.2</c:v>
                </c:pt>
              </c:numCache>
            </c:numRef>
          </c:val>
          <c:extLst>
            <c:ext xmlns:c16="http://schemas.microsoft.com/office/drawing/2014/chart" uri="{C3380CC4-5D6E-409C-BE32-E72D297353CC}">
              <c16:uniqueId val="{0000000E-3B11-4C64-A288-1808F98D0216}"/>
            </c:ext>
          </c:extLst>
        </c:ser>
        <c:ser>
          <c:idx val="7"/>
          <c:order val="7"/>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Text!$Q$369:$T$369</c15:sqref>
                  </c15:fullRef>
                </c:ext>
              </c:extLst>
              <c:f>Text!$S$369:$T$369</c:f>
              <c:numCache>
                <c:formatCode>0.00</c:formatCode>
                <c:ptCount val="2"/>
                <c:pt idx="0">
                  <c:v>-0.15</c:v>
                </c:pt>
                <c:pt idx="1">
                  <c:v>-0.15</c:v>
                </c:pt>
              </c:numCache>
            </c:numRef>
          </c:val>
          <c:extLst>
            <c:ext xmlns:c16="http://schemas.microsoft.com/office/drawing/2014/chart" uri="{C3380CC4-5D6E-409C-BE32-E72D297353CC}">
              <c16:uniqueId val="{0000000F-3B11-4C64-A288-1808F98D0216}"/>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76B729"/>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ysClr val="window" lastClr="FFFFFF"/>
            </a:solidFill>
            <a:ln>
              <a:solidFill>
                <a:srgbClr val="E30613"/>
              </a:solidFill>
            </a:ln>
            <a:effectLst/>
          </c:spPr>
          <c:invertIfNegative val="0"/>
          <c:dPt>
            <c:idx val="0"/>
            <c:invertIfNegative val="0"/>
            <c:bubble3D val="0"/>
            <c:spPr>
              <a:solidFill>
                <a:srgbClr val="F7CED3"/>
              </a:solidFill>
              <a:ln>
                <a:solidFill>
                  <a:srgbClr val="E30613"/>
                </a:solidFill>
              </a:ln>
              <a:effectLst/>
            </c:spPr>
            <c:extLst>
              <c:ext xmlns:c16="http://schemas.microsoft.com/office/drawing/2014/chart" uri="{C3380CC4-5D6E-409C-BE32-E72D297353CC}">
                <c16:uniqueId val="{00000010-07C0-4B17-B849-E766EB0EB759}"/>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Text!$Q$384</c:f>
              <c:numCache>
                <c:formatCode>General</c:formatCode>
                <c:ptCount val="1"/>
                <c:pt idx="0">
                  <c:v>0</c:v>
                </c:pt>
              </c:numCache>
            </c:numRef>
          </c:val>
          <c:extLst>
            <c:ext xmlns:c15="http://schemas.microsoft.com/office/drawing/2012/chart" uri="{02D57815-91ED-43cb-92C2-25804820EDAC}">
              <c15:categoryFilterExceptions>
                <c15:categoryFilterException>
                  <c15:sqref>Text!$T$384</c15:sqref>
                  <c15:spPr xmlns:c15="http://schemas.microsoft.com/office/drawing/2012/chart">
                    <a:solidFill>
                      <a:srgbClr val="FFC000">
                        <a:lumMod val="20000"/>
                        <a:lumOff val="80000"/>
                      </a:srgbClr>
                    </a:solidFill>
                    <a:ln>
                      <a:solidFill>
                        <a:srgbClr val="E30613"/>
                      </a:solidFill>
                    </a:ln>
                    <a:effectLst/>
                  </c15:spPr>
                </c15:categoryFilterException>
              </c15:categoryFilterExceptions>
            </c:ext>
            <c:ext xmlns:c16="http://schemas.microsoft.com/office/drawing/2014/chart" uri="{C3380CC4-5D6E-409C-BE32-E72D297353CC}">
              <c16:uniqueId val="{00000000-C47B-4343-87C8-8244576EA510}"/>
            </c:ext>
          </c:extLst>
        </c:ser>
        <c:ser>
          <c:idx val="1"/>
          <c:order val="1"/>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Text!$Q$385</c:f>
              <c:numCache>
                <c:formatCode>General</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Text!$Q$386</c:f>
              <c:numCache>
                <c:formatCode>General</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dPt>
            <c:idx val="0"/>
            <c:invertIfNegative val="0"/>
            <c:bubble3D val="0"/>
            <c:spPr>
              <a:solidFill>
                <a:srgbClr val="FFD1D1"/>
              </a:solidFill>
              <a:ln>
                <a:solidFill>
                  <a:srgbClr val="E30613"/>
                </a:solidFill>
              </a:ln>
              <a:effectLst/>
            </c:spPr>
            <c:extLst>
              <c:ext xmlns:c16="http://schemas.microsoft.com/office/drawing/2014/chart" uri="{C3380CC4-5D6E-409C-BE32-E72D297353CC}">
                <c16:uniqueId val="{00000003-61F3-448E-857F-38B7BFD5AB4A}"/>
              </c:ext>
            </c:extLst>
          </c:dPt>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Text!$Q$387</c:f>
              <c:numCache>
                <c:formatCode>General</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Text!$Q$388</c:f>
              <c:numCache>
                <c:formatCode>General</c:formatCode>
                <c:ptCount val="1"/>
                <c:pt idx="0">
                  <c:v>-0.5</c:v>
                </c:pt>
              </c:numCache>
            </c:numRef>
          </c:val>
          <c:extLst>
            <c:ext xmlns:c16="http://schemas.microsoft.com/office/drawing/2014/chart" uri="{C3380CC4-5D6E-409C-BE32-E72D297353CC}">
              <c16:uniqueId val="{0000000C-07C0-4B17-B849-E766EB0EB759}"/>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Text!$Q$389</c:f>
              <c:numCache>
                <c:formatCode>General</c:formatCode>
                <c:ptCount val="1"/>
                <c:pt idx="0">
                  <c:v>-0.15</c:v>
                </c:pt>
              </c:numCache>
            </c:numRef>
          </c:val>
          <c:extLst>
            <c:ext xmlns:c16="http://schemas.microsoft.com/office/drawing/2014/chart" uri="{C3380CC4-5D6E-409C-BE32-E72D297353CC}">
              <c16:uniqueId val="{0000000D-07C0-4B17-B849-E766EB0EB759}"/>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Text!$Q$390</c:f>
              <c:numCache>
                <c:formatCode>General</c:formatCode>
                <c:ptCount val="1"/>
                <c:pt idx="0">
                  <c:v>-0.2</c:v>
                </c:pt>
              </c:numCache>
            </c:numRef>
          </c:val>
          <c:extLst>
            <c:ext xmlns:c16="http://schemas.microsoft.com/office/drawing/2014/chart" uri="{C3380CC4-5D6E-409C-BE32-E72D297353CC}">
              <c16:uniqueId val="{0000000E-07C0-4B17-B849-E766EB0EB759}"/>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Text!$Q$391</c:f>
              <c:numCache>
                <c:formatCode>General</c:formatCode>
                <c:ptCount val="1"/>
                <c:pt idx="0">
                  <c:v>-0.15</c:v>
                </c:pt>
              </c:numCache>
            </c:numRef>
          </c:val>
          <c:extLst>
            <c:ext xmlns:c16="http://schemas.microsoft.com/office/drawing/2014/chart" uri="{C3380CC4-5D6E-409C-BE32-E72D297353CC}">
              <c16:uniqueId val="{0000000F-07C0-4B17-B849-E766EB0EB75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10-A3A6-405B-8261-E95F820D3399}"/>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Text!$Z$384</c:f>
              <c:numCache>
                <c:formatCode>General</c:formatCode>
                <c:ptCount val="1"/>
                <c:pt idx="0">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Text!$Z$385</c:f>
              <c:numCache>
                <c:formatCode>General</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Text!$Z$386</c:f>
              <c:numCache>
                <c:formatCode>General</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Text!$Z$387</c:f>
              <c:numCache>
                <c:formatCode>General</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Text!$Z$388</c:f>
              <c:numCache>
                <c:formatCode>General</c:formatCode>
                <c:ptCount val="1"/>
                <c:pt idx="0">
                  <c:v>0.5</c:v>
                </c:pt>
              </c:numCache>
            </c:numRef>
          </c:val>
          <c:extLst>
            <c:ext xmlns:c16="http://schemas.microsoft.com/office/drawing/2014/chart" uri="{C3380CC4-5D6E-409C-BE32-E72D297353CC}">
              <c16:uniqueId val="{0000000C-A3A6-405B-8261-E95F820D3399}"/>
            </c:ext>
          </c:extLst>
        </c:ser>
        <c:ser>
          <c:idx val="5"/>
          <c:order val="5"/>
          <c:spPr>
            <a:solidFill>
              <a:sysClr val="window" lastClr="FFFFFF"/>
            </a:solidFill>
            <a:ln>
              <a:no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Text!$Z$389</c:f>
              <c:numCache>
                <c:formatCode>General</c:formatCode>
                <c:ptCount val="1"/>
                <c:pt idx="0">
                  <c:v>0.15</c:v>
                </c:pt>
              </c:numCache>
            </c:numRef>
          </c:val>
          <c:extLst>
            <c:ext xmlns:c16="http://schemas.microsoft.com/office/drawing/2014/chart" uri="{C3380CC4-5D6E-409C-BE32-E72D297353CC}">
              <c16:uniqueId val="{0000000D-A3A6-405B-8261-E95F820D3399}"/>
            </c:ext>
          </c:extLst>
        </c:ser>
        <c:ser>
          <c:idx val="6"/>
          <c:order val="6"/>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Text!$Z$390</c:f>
              <c:numCache>
                <c:formatCode>General</c:formatCode>
                <c:ptCount val="1"/>
                <c:pt idx="0">
                  <c:v>0.2</c:v>
                </c:pt>
              </c:numCache>
            </c:numRef>
          </c:val>
          <c:extLst>
            <c:ext xmlns:c16="http://schemas.microsoft.com/office/drawing/2014/chart" uri="{C3380CC4-5D6E-409C-BE32-E72D297353CC}">
              <c16:uniqueId val="{0000000E-A3A6-405B-8261-E95F820D3399}"/>
            </c:ext>
          </c:extLst>
        </c:ser>
        <c:ser>
          <c:idx val="7"/>
          <c:order val="7"/>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Text!$Z$391</c:f>
              <c:numCache>
                <c:formatCode>General</c:formatCode>
                <c:ptCount val="1"/>
                <c:pt idx="0">
                  <c:v>0.15</c:v>
                </c:pt>
              </c:numCache>
            </c:numRef>
          </c:val>
          <c:extLst>
            <c:ext xmlns:c16="http://schemas.microsoft.com/office/drawing/2014/chart" uri="{C3380CC4-5D6E-409C-BE32-E72D297353CC}">
              <c16:uniqueId val="{0000000F-A3A6-405B-8261-E95F820D339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691719868696786"/>
          <c:y val="0.19306339519756885"/>
          <c:w val="0.55742113008904837"/>
          <c:h val="0.74110828186245392"/>
        </c:manualLayout>
      </c:layout>
      <c:radarChart>
        <c:radarStyle val="filled"/>
        <c:varyColors val="0"/>
        <c:ser>
          <c:idx val="0"/>
          <c:order val="0"/>
          <c:spPr>
            <a:noFill/>
            <a:ln>
              <a:noFill/>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no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Text!$R$400:$R$403</c:f>
              <c:numCache>
                <c:formatCode>General</c:formatCode>
                <c:ptCount val="4"/>
              </c:numCache>
            </c:numRef>
          </c:cat>
          <c:val>
            <c:numRef>
              <c:f>(Text!$S$394:$S$397,Text!$S$398:$S$399,Text!$S$400:$S$403)</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2EF-4D83-997D-F6934C0BB98B}"/>
            </c:ext>
          </c:extLst>
        </c:ser>
        <c:dLbls>
          <c:showLegendKey val="0"/>
          <c:showVal val="1"/>
          <c:showCatName val="0"/>
          <c:showSerName val="0"/>
          <c:showPercent val="0"/>
          <c:showBubbleSize val="0"/>
        </c:dLbls>
        <c:axId val="1124657088"/>
        <c:axId val="1124652096"/>
      </c:radarChart>
      <c:catAx>
        <c:axId val="1124657088"/>
        <c:scaling>
          <c:orientation val="minMax"/>
        </c:scaling>
        <c:delete val="0"/>
        <c:axPos val="b"/>
        <c:numFmt formatCode="General" sourceLinked="1"/>
        <c:majorTickMark val="none"/>
        <c:minorTickMark val="none"/>
        <c:tickLblPos val="nextTo"/>
        <c:spPr>
          <a:noFill/>
          <a:ln w="9525" cap="flat" cmpd="sng" algn="ctr">
            <a:solidFill>
              <a:srgbClr val="C00000"/>
            </a:solidFill>
            <a:round/>
          </a:ln>
          <a:effectLst/>
        </c:spPr>
        <c:txPr>
          <a:bodyPr rot="0" spcFirstLastPara="1" vertOverflow="ellipsis" wrap="square" anchor="ctr" anchorCtr="1"/>
          <a:lstStyle/>
          <a:p>
            <a:pPr>
              <a:defRPr sz="900" b="0" i="0" u="none" strike="noStrike" kern="1200" baseline="0">
                <a:noFill/>
                <a:latin typeface="+mn-lt"/>
                <a:ea typeface="+mn-ea"/>
                <a:cs typeface="+mn-cs"/>
              </a:defRPr>
            </a:pPr>
            <a:endParaRPr lang="de-DE"/>
          </a:p>
        </c:txPr>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1124657088"/>
        <c:crosses val="autoZero"/>
        <c:crossBetween val="between"/>
        <c:majorUnit val="0.25"/>
      </c:valAx>
      <c:spPr>
        <a:noFill/>
        <a:ln>
          <a:noFill/>
        </a:ln>
        <a:effectLst/>
      </c:spPr>
    </c:plotArea>
    <c:plotVisOnly val="1"/>
    <c:dispBlanksAs val="gap"/>
    <c:showDLblsOverMax val="0"/>
  </c:chart>
  <c:spPr>
    <a:noFill/>
    <a:ln w="9525" cap="flat" cmpd="sng" algn="ctr">
      <a:noFill/>
      <a:round/>
    </a:ln>
    <a:effectLst/>
  </c:spPr>
  <c:txPr>
    <a:bodyPr/>
    <a:lstStyle/>
    <a:p>
      <a:pPr>
        <a:defRPr>
          <a:noFill/>
        </a:defRPr>
      </a:pPr>
      <a:endParaRPr lang="de-DE"/>
    </a:p>
  </c:txPr>
  <c:printSettings>
    <c:headerFooter/>
    <c:pageMargins b="0.78740157499999996" l="0.7" r="0.7" t="0.78740157499999996" header="0.3" footer="0.3"/>
    <c:pageSetup/>
  </c:printSettings>
  <c:userShapes r:id="rId3"/>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Text!$W$384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C000">
                        <a:lumMod val="20000"/>
                        <a:lumOff val="80000"/>
                      </a:srgbClr>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2-F18D-4254-B087-B6E5DF3A4980}"/>
            </c:ext>
          </c:extLst>
        </c:ser>
        <c:ser>
          <c:idx val="1"/>
          <c:order val="1"/>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Text!$W$385</c:f>
              <c:numCache>
                <c:formatCode>General</c:formatCode>
                <c:ptCount val="1"/>
                <c:pt idx="0">
                  <c:v>0</c:v>
                </c:pt>
              </c:numCache>
            </c:numRef>
          </c:val>
          <c:extLst>
            <c:ext xmlns:c16="http://schemas.microsoft.com/office/drawing/2014/chart" uri="{C3380CC4-5D6E-409C-BE32-E72D297353CC}">
              <c16:uniqueId val="{00000003-F18D-4254-B087-B6E5DF3A4980}"/>
            </c:ext>
          </c:extLst>
        </c:ser>
        <c:ser>
          <c:idx val="2"/>
          <c:order val="2"/>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Text!$W$386</c:f>
              <c:numCache>
                <c:formatCode>General</c:formatCode>
                <c:ptCount val="1"/>
                <c:pt idx="0">
                  <c:v>0</c:v>
                </c:pt>
              </c:numCache>
            </c:numRef>
          </c:val>
          <c:extLst>
            <c:ext xmlns:c16="http://schemas.microsoft.com/office/drawing/2014/chart" uri="{C3380CC4-5D6E-409C-BE32-E72D297353CC}">
              <c16:uniqueId val="{00000004-F18D-4254-B087-B6E5DF3A4980}"/>
            </c:ext>
          </c:extLst>
        </c:ser>
        <c:ser>
          <c:idx val="3"/>
          <c:order val="3"/>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Text!$W$387</c:f>
              <c:numCache>
                <c:formatCode>General</c:formatCode>
                <c:ptCount val="1"/>
                <c:pt idx="0">
                  <c:v>0</c:v>
                </c:pt>
              </c:numCache>
            </c:numRef>
          </c:val>
          <c:extLst>
            <c:ext xmlns:c16="http://schemas.microsoft.com/office/drawing/2014/chart" uri="{C3380CC4-5D6E-409C-BE32-E72D297353CC}">
              <c16:uniqueId val="{00000005-F18D-4254-B087-B6E5DF3A4980}"/>
            </c:ext>
          </c:extLst>
        </c:ser>
        <c:ser>
          <c:idx val="4"/>
          <c:order val="4"/>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Text!$W$388</c:f>
              <c:numCache>
                <c:formatCode>General</c:formatCode>
                <c:ptCount val="1"/>
                <c:pt idx="0">
                  <c:v>0.5</c:v>
                </c:pt>
              </c:numCache>
            </c:numRef>
          </c:val>
          <c:extLst>
            <c:ext xmlns:c16="http://schemas.microsoft.com/office/drawing/2014/chart" uri="{C3380CC4-5D6E-409C-BE32-E72D297353CC}">
              <c16:uniqueId val="{00000006-F18D-4254-B087-B6E5DF3A4980}"/>
            </c:ext>
          </c:extLst>
        </c:ser>
        <c:ser>
          <c:idx val="5"/>
          <c:order val="5"/>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Text!$W$389</c:f>
              <c:numCache>
                <c:formatCode>General</c:formatCode>
                <c:ptCount val="1"/>
                <c:pt idx="0">
                  <c:v>0.15</c:v>
                </c:pt>
              </c:numCache>
            </c:numRef>
          </c:val>
          <c:extLst>
            <c:ext xmlns:c16="http://schemas.microsoft.com/office/drawing/2014/chart" uri="{C3380CC4-5D6E-409C-BE32-E72D297353CC}">
              <c16:uniqueId val="{00000007-F18D-4254-B087-B6E5DF3A4980}"/>
            </c:ext>
          </c:extLst>
        </c:ser>
        <c:ser>
          <c:idx val="6"/>
          <c:order val="6"/>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Text!$W$390</c:f>
              <c:numCache>
                <c:formatCode>General</c:formatCode>
                <c:ptCount val="1"/>
                <c:pt idx="0">
                  <c:v>0.2</c:v>
                </c:pt>
              </c:numCache>
            </c:numRef>
          </c:val>
          <c:extLst>
            <c:ext xmlns:c16="http://schemas.microsoft.com/office/drawing/2014/chart" uri="{C3380CC4-5D6E-409C-BE32-E72D297353CC}">
              <c16:uniqueId val="{00000008-F18D-4254-B087-B6E5DF3A4980}"/>
            </c:ext>
          </c:extLst>
        </c:ser>
        <c:ser>
          <c:idx val="7"/>
          <c:order val="7"/>
          <c:spPr>
            <a:solidFill>
              <a:sysClr val="window" lastClr="FFFFFF"/>
            </a:solidFill>
            <a:ln>
              <a:solidFill>
                <a:srgbClr val="E30613"/>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Text!$W$391</c:f>
              <c:numCache>
                <c:formatCode>General</c:formatCode>
                <c:ptCount val="1"/>
                <c:pt idx="0">
                  <c:v>0.15</c:v>
                </c:pt>
              </c:numCache>
            </c:numRef>
          </c:val>
          <c:extLst>
            <c:ext xmlns:c16="http://schemas.microsoft.com/office/drawing/2014/chart" uri="{C3380CC4-5D6E-409C-BE32-E72D297353CC}">
              <c16:uniqueId val="{00000009-F18D-4254-B087-B6E5DF3A498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Text!$X$384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C000">
                        <a:lumMod val="20000"/>
                        <a:lumOff val="80000"/>
                      </a:srgbClr>
                    </a:solidFill>
                    <a:ln>
                      <a:solidFill>
                        <a:srgbClr val="FFC000">
                          <a:lumMod val="75000"/>
                        </a:srgbClr>
                      </a:solidFill>
                    </a:ln>
                    <a:effectLst/>
                  </c15:spPr>
                  <c15:invertIfNegative val="0"/>
                  <c15:bubble3D val="0"/>
                </c15:categoryFilterException>
              </c15:categoryFilterExceptions>
            </c:ex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Text!$X$385</c:f>
              <c:numCache>
                <c:formatCode>General</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Text!$X$386</c:f>
              <c:numCache>
                <c:formatCode>General</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Text!$X$387</c:f>
              <c:numCache>
                <c:formatCode>General</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Text!$X$388</c:f>
              <c:numCache>
                <c:formatCode>General</c:formatCode>
                <c:ptCount val="1"/>
                <c:pt idx="0">
                  <c:v>0.5</c:v>
                </c:pt>
              </c:numCache>
            </c:numRef>
          </c:val>
          <c:extLst>
            <c:ext xmlns:c16="http://schemas.microsoft.com/office/drawing/2014/chart" uri="{C3380CC4-5D6E-409C-BE32-E72D297353CC}">
              <c16:uniqueId val="{0000000C-A3A6-405B-8261-E95F820D3399}"/>
            </c:ext>
          </c:extLst>
        </c:ser>
        <c:ser>
          <c:idx val="5"/>
          <c:order val="5"/>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Text!$X$389</c:f>
              <c:numCache>
                <c:formatCode>General</c:formatCode>
                <c:ptCount val="1"/>
                <c:pt idx="0">
                  <c:v>0.15</c:v>
                </c:pt>
              </c:numCache>
            </c:numRef>
          </c:val>
          <c:extLst>
            <c:ext xmlns:c16="http://schemas.microsoft.com/office/drawing/2014/chart" uri="{C3380CC4-5D6E-409C-BE32-E72D297353CC}">
              <c16:uniqueId val="{0000000D-A3A6-405B-8261-E95F820D3399}"/>
            </c:ext>
          </c:extLst>
        </c:ser>
        <c:ser>
          <c:idx val="6"/>
          <c:order val="6"/>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Text!$X$390</c:f>
              <c:numCache>
                <c:formatCode>General</c:formatCode>
                <c:ptCount val="1"/>
                <c:pt idx="0">
                  <c:v>0.2</c:v>
                </c:pt>
              </c:numCache>
            </c:numRef>
          </c:val>
          <c:extLst>
            <c:ext xmlns:c16="http://schemas.microsoft.com/office/drawing/2014/chart" uri="{C3380CC4-5D6E-409C-BE32-E72D297353CC}">
              <c16:uniqueId val="{0000000E-A3A6-405B-8261-E95F820D3399}"/>
            </c:ext>
          </c:extLst>
        </c:ser>
        <c:ser>
          <c:idx val="7"/>
          <c:order val="7"/>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Text!$X$391</c:f>
              <c:numCache>
                <c:formatCode>General</c:formatCode>
                <c:ptCount val="1"/>
                <c:pt idx="0">
                  <c:v>0.15</c:v>
                </c:pt>
              </c:numCache>
            </c:numRef>
          </c:val>
          <c:extLst>
            <c:ext xmlns:c16="http://schemas.microsoft.com/office/drawing/2014/chart" uri="{C3380CC4-5D6E-409C-BE32-E72D297353CC}">
              <c16:uniqueId val="{0000000F-A3A6-405B-8261-E95F820D339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Text!$W$384:$Z$384</c15:sqref>
                  </c15:fullRef>
                </c:ext>
              </c:extLst>
              <c:f>Text!$Y$384</c:f>
              <c:numCache>
                <c:formatCode>General</c:formatCode>
                <c:ptCount val="1"/>
                <c:pt idx="0">
                  <c:v>0</c:v>
                </c:pt>
              </c:numCache>
            </c:numRef>
          </c:val>
          <c:extLst>
            <c:ext xmlns:c15="http://schemas.microsoft.com/office/drawing/2012/chart" uri="{02D57815-91ED-43cb-92C2-25804820EDAC}">
              <c15:categoryFilterExceptions>
                <c15:categoryFilterException>
                  <c15:sqref>Text!$Z$384</c15:sqref>
                  <c15:spPr xmlns:c15="http://schemas.microsoft.com/office/drawing/2012/chart">
                    <a:solidFill>
                      <a:srgbClr val="FFC000">
                        <a:lumMod val="20000"/>
                        <a:lumOff val="80000"/>
                      </a:srgbClr>
                    </a:solidFill>
                    <a:ln>
                      <a:solidFill>
                        <a:srgbClr val="FFC000">
                          <a:lumMod val="75000"/>
                        </a:srgbClr>
                      </a:solidFill>
                    </a:ln>
                    <a:effectLst/>
                  </c15:spPr>
                  <c15:invertIfNegative val="0"/>
                  <c15:bubble3D val="0"/>
                </c15:categoryFilterException>
              </c15:categoryFilterExceptions>
            </c:ex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Text!$W$385:$Z$385</c15:sqref>
                  </c15:fullRef>
                </c:ext>
              </c:extLst>
              <c:f>Text!$Y$385</c:f>
              <c:numCache>
                <c:formatCode>General</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Text!$W$386:$Z$386</c15:sqref>
                  </c15:fullRef>
                </c:ext>
              </c:extLst>
              <c:f>Text!$Y$386</c:f>
              <c:numCache>
                <c:formatCode>General</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Text!$W$387:$Z$387</c15:sqref>
                  </c15:fullRef>
                </c:ext>
              </c:extLst>
              <c:f>Text!$Y$387</c:f>
              <c:numCache>
                <c:formatCode>General</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Text!$W$388:$Z$388</c15:sqref>
                  </c15:fullRef>
                </c:ext>
              </c:extLst>
              <c:f>Text!$Y$388</c:f>
              <c:numCache>
                <c:formatCode>General</c:formatCode>
                <c:ptCount val="1"/>
                <c:pt idx="0">
                  <c:v>0.5</c:v>
                </c:pt>
              </c:numCache>
            </c:numRef>
          </c:val>
          <c:extLst>
            <c:ext xmlns:c16="http://schemas.microsoft.com/office/drawing/2014/chart" uri="{C3380CC4-5D6E-409C-BE32-E72D297353CC}">
              <c16:uniqueId val="{0000000C-A3A6-405B-8261-E95F820D3399}"/>
            </c:ext>
          </c:extLst>
        </c:ser>
        <c:ser>
          <c:idx val="5"/>
          <c:order val="5"/>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Text!$W$389:$Z$389</c15:sqref>
                  </c15:fullRef>
                </c:ext>
              </c:extLst>
              <c:f>Text!$Y$389</c:f>
              <c:numCache>
                <c:formatCode>General</c:formatCode>
                <c:ptCount val="1"/>
                <c:pt idx="0">
                  <c:v>0.15</c:v>
                </c:pt>
              </c:numCache>
            </c:numRef>
          </c:val>
          <c:extLst>
            <c:ext xmlns:c16="http://schemas.microsoft.com/office/drawing/2014/chart" uri="{C3380CC4-5D6E-409C-BE32-E72D297353CC}">
              <c16:uniqueId val="{0000000D-A3A6-405B-8261-E95F820D3399}"/>
            </c:ext>
          </c:extLst>
        </c:ser>
        <c:ser>
          <c:idx val="6"/>
          <c:order val="6"/>
          <c:spPr>
            <a:solidFill>
              <a:sysClr val="window" lastClr="FFFFFF"/>
            </a:solidFill>
            <a:ln>
              <a:noFill/>
            </a:ln>
            <a:effectLst/>
          </c:spPr>
          <c:invertIfNegative val="0"/>
          <c:dPt>
            <c:idx val="0"/>
            <c:invertIfNegative val="0"/>
            <c:bubble3D val="0"/>
            <c:spPr>
              <a:solidFill>
                <a:sysClr val="window" lastClr="FFFFFF"/>
              </a:solidFill>
              <a:ln>
                <a:solidFill>
                  <a:srgbClr val="76B729"/>
                </a:solidFill>
              </a:ln>
              <a:effectLst/>
            </c:spPr>
            <c:extLst>
              <c:ext xmlns:c16="http://schemas.microsoft.com/office/drawing/2014/chart" uri="{C3380CC4-5D6E-409C-BE32-E72D297353CC}">
                <c16:uniqueId val="{00000002-A03E-4404-8C43-5FC0C77291CE}"/>
              </c:ext>
            </c:extLst>
          </c:dPt>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Text!$W$390:$Z$390</c15:sqref>
                  </c15:fullRef>
                </c:ext>
              </c:extLst>
              <c:f>Text!$Y$390</c:f>
              <c:numCache>
                <c:formatCode>General</c:formatCode>
                <c:ptCount val="1"/>
                <c:pt idx="0">
                  <c:v>0.2</c:v>
                </c:pt>
              </c:numCache>
            </c:numRef>
          </c:val>
          <c:extLst>
            <c:ext xmlns:c16="http://schemas.microsoft.com/office/drawing/2014/chart" uri="{C3380CC4-5D6E-409C-BE32-E72D297353CC}">
              <c16:uniqueId val="{0000000E-A3A6-405B-8261-E95F820D3399}"/>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Text!$W$391:$Z$391</c15:sqref>
                  </c15:fullRef>
                </c:ext>
              </c:extLst>
              <c:f>Text!$Y$391</c:f>
              <c:numCache>
                <c:formatCode>General</c:formatCode>
                <c:ptCount val="1"/>
                <c:pt idx="0">
                  <c:v>0.15</c:v>
                </c:pt>
              </c:numCache>
            </c:numRef>
          </c:val>
          <c:extLst>
            <c:ext xmlns:c16="http://schemas.microsoft.com/office/drawing/2014/chart" uri="{C3380CC4-5D6E-409C-BE32-E72D297353CC}">
              <c16:uniqueId val="{0000000F-A3A6-405B-8261-E95F820D339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General"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Text!$S$384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D1E3B0"/>
                    </a:solidFill>
                    <a:ln>
                      <a:solidFill>
                        <a:srgbClr val="76B729"/>
                      </a:solidFill>
                    </a:ln>
                    <a:effectLst/>
                  </c15:spPr>
                  <c15:invertIfNegative val="0"/>
                  <c15:bubble3D val="0"/>
                </c15:categoryFilterException>
                <c15:categoryFilterException>
                  <c15:sqref>Text!$T$384</c15:sqref>
                  <c15:spPr xmlns:c15="http://schemas.microsoft.com/office/drawing/2012/chart">
                    <a:solidFill>
                      <a:srgbClr val="D1E3B0"/>
                    </a:solidFill>
                    <a:ln>
                      <a:solidFill>
                        <a:srgbClr val="76B729"/>
                      </a:solidFill>
                    </a:ln>
                    <a:effectLst/>
                  </c15:spPr>
                  <c15:invertIfNegative val="0"/>
                  <c15:bubble3D val="0"/>
                </c15:categoryFilterException>
              </c15:categoryFilterExceptions>
            </c:ex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Text!$S$385</c:f>
              <c:numCache>
                <c:formatCode>General</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Text!$S$386</c:f>
              <c:numCache>
                <c:formatCode>General</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Text!$S$387</c:f>
              <c:numCache>
                <c:formatCode>General</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Text!$S$388</c:f>
              <c:numCache>
                <c:formatCode>General</c:formatCode>
                <c:ptCount val="1"/>
                <c:pt idx="0">
                  <c:v>-0.5</c:v>
                </c:pt>
              </c:numCache>
            </c:numRef>
          </c:val>
          <c:extLst>
            <c:ext xmlns:c16="http://schemas.microsoft.com/office/drawing/2014/chart" uri="{C3380CC4-5D6E-409C-BE32-E72D297353CC}">
              <c16:uniqueId val="{0000000C-07C0-4B17-B849-E766EB0EB759}"/>
            </c:ext>
          </c:extLst>
        </c:ser>
        <c:ser>
          <c:idx val="5"/>
          <c:order val="5"/>
          <c:spPr>
            <a:solidFill>
              <a:sysClr val="window" lastClr="FFFFFF"/>
            </a:solidFill>
            <a:ln>
              <a:no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Text!$S$389</c:f>
              <c:numCache>
                <c:formatCode>General</c:formatCode>
                <c:ptCount val="1"/>
                <c:pt idx="0">
                  <c:v>-0.15</c:v>
                </c:pt>
              </c:numCache>
            </c:numRef>
          </c:val>
          <c:extLst>
            <c:ext xmlns:c16="http://schemas.microsoft.com/office/drawing/2014/chart" uri="{C3380CC4-5D6E-409C-BE32-E72D297353CC}">
              <c16:uniqueId val="{0000000D-07C0-4B17-B849-E766EB0EB759}"/>
            </c:ext>
          </c:extLst>
        </c:ser>
        <c:ser>
          <c:idx val="6"/>
          <c:order val="6"/>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Text!$S$390</c:f>
              <c:numCache>
                <c:formatCode>General</c:formatCode>
                <c:ptCount val="1"/>
                <c:pt idx="0">
                  <c:v>-0.2</c:v>
                </c:pt>
              </c:numCache>
            </c:numRef>
          </c:val>
          <c:extLst>
            <c:ext xmlns:c16="http://schemas.microsoft.com/office/drawing/2014/chart" uri="{C3380CC4-5D6E-409C-BE32-E72D297353CC}">
              <c16:uniqueId val="{0000000E-07C0-4B17-B849-E766EB0EB759}"/>
            </c:ext>
          </c:extLst>
        </c:ser>
        <c:ser>
          <c:idx val="7"/>
          <c:order val="7"/>
          <c:spPr>
            <a:solidFill>
              <a:sysClr val="window" lastClr="FFFFFF"/>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Text!$S$391</c:f>
              <c:numCache>
                <c:formatCode>General</c:formatCode>
                <c:ptCount val="1"/>
                <c:pt idx="0">
                  <c:v>-0.15</c:v>
                </c:pt>
              </c:numCache>
            </c:numRef>
          </c:val>
          <c:extLst>
            <c:ext xmlns:c16="http://schemas.microsoft.com/office/drawing/2014/chart" uri="{C3380CC4-5D6E-409C-BE32-E72D297353CC}">
              <c16:uniqueId val="{0000000F-07C0-4B17-B849-E766EB0EB75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5EFF5"/>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Text!$R$384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D5EFF5"/>
                    </a:solidFill>
                    <a:ln>
                      <a:solidFill>
                        <a:srgbClr val="5DC4E1"/>
                      </a:solidFill>
                    </a:ln>
                    <a:effectLst/>
                  </c15:spPr>
                  <c15:invertIfNegative val="0"/>
                  <c15:bubble3D val="0"/>
                </c15:categoryFilterException>
                <c15:categoryFilterException>
                  <c15:sqref>Text!$T$384</c15:sqref>
                  <c15:spPr xmlns:c15="http://schemas.microsoft.com/office/drawing/2012/chart">
                    <a:solidFill>
                      <a:srgbClr val="D5EFF5"/>
                    </a:solidFill>
                    <a:ln>
                      <a:solidFill>
                        <a:srgbClr val="5DC4E1"/>
                      </a:solidFill>
                    </a:ln>
                    <a:effectLst/>
                  </c15:spPr>
                  <c15:invertIfNegative val="0"/>
                  <c15:bubble3D val="0"/>
                </c15:categoryFilterException>
              </c15:categoryFilterExceptions>
            </c:ex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Text!$R$385</c:f>
              <c:numCache>
                <c:formatCode>General</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Text!$R$386</c:f>
              <c:numCache>
                <c:formatCode>General</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Text!$R$387</c:f>
              <c:numCache>
                <c:formatCode>General</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Text!$R$388</c:f>
              <c:numCache>
                <c:formatCode>General</c:formatCode>
                <c:ptCount val="1"/>
                <c:pt idx="0">
                  <c:v>-0.5</c:v>
                </c:pt>
              </c:numCache>
            </c:numRef>
          </c:val>
          <c:extLst>
            <c:ext xmlns:c16="http://schemas.microsoft.com/office/drawing/2014/chart" uri="{C3380CC4-5D6E-409C-BE32-E72D297353CC}">
              <c16:uniqueId val="{0000000C-07C0-4B17-B849-E766EB0EB759}"/>
            </c:ext>
          </c:extLst>
        </c:ser>
        <c:ser>
          <c:idx val="5"/>
          <c:order val="5"/>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Text!$R$389</c:f>
              <c:numCache>
                <c:formatCode>General</c:formatCode>
                <c:ptCount val="1"/>
                <c:pt idx="0">
                  <c:v>-0.15</c:v>
                </c:pt>
              </c:numCache>
            </c:numRef>
          </c:val>
          <c:extLst>
            <c:ext xmlns:c16="http://schemas.microsoft.com/office/drawing/2014/chart" uri="{C3380CC4-5D6E-409C-BE32-E72D297353CC}">
              <c16:uniqueId val="{0000000D-07C0-4B17-B849-E766EB0EB759}"/>
            </c:ext>
          </c:extLst>
        </c:ser>
        <c:ser>
          <c:idx val="6"/>
          <c:order val="6"/>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Text!$R$390</c:f>
              <c:numCache>
                <c:formatCode>General</c:formatCode>
                <c:ptCount val="1"/>
                <c:pt idx="0">
                  <c:v>-0.2</c:v>
                </c:pt>
              </c:numCache>
            </c:numRef>
          </c:val>
          <c:extLst>
            <c:ext xmlns:c16="http://schemas.microsoft.com/office/drawing/2014/chart" uri="{C3380CC4-5D6E-409C-BE32-E72D297353CC}">
              <c16:uniqueId val="{0000000E-07C0-4B17-B849-E766EB0EB759}"/>
            </c:ext>
          </c:extLst>
        </c:ser>
        <c:ser>
          <c:idx val="7"/>
          <c:order val="7"/>
          <c:spPr>
            <a:solidFill>
              <a:sysClr val="window" lastClr="FFFFFF"/>
            </a:solidFill>
            <a:ln>
              <a:solidFill>
                <a:srgbClr val="5DC4E1"/>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Text!$R$391</c:f>
              <c:numCache>
                <c:formatCode>General</c:formatCode>
                <c:ptCount val="1"/>
                <c:pt idx="0">
                  <c:v>-0.15</c:v>
                </c:pt>
              </c:numCache>
            </c:numRef>
          </c:val>
          <c:extLst>
            <c:ext xmlns:c16="http://schemas.microsoft.com/office/drawing/2014/chart" uri="{C3380CC4-5D6E-409C-BE32-E72D297353CC}">
              <c16:uniqueId val="{0000000F-07C0-4B17-B849-E766EB0EB75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5DC4E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ysClr val="window" lastClr="FFFFFF"/>
            </a:solidFill>
            <a:ln>
              <a:solidFill>
                <a:srgbClr val="C00000"/>
              </a:solidFill>
            </a:ln>
            <a:effectLst/>
          </c:spPr>
          <c:invertIfNegative val="0"/>
          <c:dPt>
            <c:idx val="0"/>
            <c:invertIfNegative val="0"/>
            <c:bubble3D val="0"/>
            <c:spPr>
              <a:solidFill>
                <a:srgbClr val="FFC000">
                  <a:lumMod val="20000"/>
                  <a:lumOff val="80000"/>
                </a:srgbClr>
              </a:solidFill>
              <a:ln>
                <a:solidFill>
                  <a:srgbClr val="FFC000">
                    <a:lumMod val="75000"/>
                  </a:srgbClr>
                </a:solidFill>
              </a:ln>
              <a:effectLst/>
            </c:spPr>
            <c:extLst>
              <c:ext xmlns:c16="http://schemas.microsoft.com/office/drawing/2014/chart" uri="{C3380CC4-5D6E-409C-BE32-E72D297353CC}">
                <c16:uniqueId val="{00000011-07C0-4B17-B849-E766EB0EB759}"/>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Text!$Q$384:$T$384</c15:sqref>
                  </c15:fullRef>
                </c:ext>
              </c:extLst>
              <c:f>Text!$T$384</c:f>
              <c:numCache>
                <c:formatCode>General</c:formatCode>
                <c:ptCount val="1"/>
                <c:pt idx="0">
                  <c:v>0</c:v>
                </c:pt>
              </c:numCache>
            </c:numRef>
          </c:val>
          <c:extLst>
            <c:ext xmlns:c15="http://schemas.microsoft.com/office/drawing/2012/chart" uri="{02D57815-91ED-43cb-92C2-25804820EDAC}">
              <c15:categoryFilterExceptions>
                <c15:categoryFilterException>
                  <c15:sqref>Text!$Q$384</c15:sqref>
                  <c15:spPr xmlns:c15="http://schemas.microsoft.com/office/drawing/2012/chart">
                    <a:solidFill>
                      <a:srgbClr val="F7CED3"/>
                    </a:solidFill>
                    <a:ln>
                      <a:solidFill>
                        <a:srgbClr val="E30613"/>
                      </a:solidFill>
                    </a:ln>
                    <a:effectLst/>
                  </c15:spPr>
                  <c15:invertIfNegative val="0"/>
                  <c15:bubble3D val="0"/>
                </c15:categoryFilterException>
              </c15:categoryFilterExceptions>
            </c:ex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Text!$Q$385:$T$385</c15:sqref>
                  </c15:fullRef>
                </c:ext>
              </c:extLst>
              <c:f>Text!$T$385</c:f>
              <c:numCache>
                <c:formatCode>General</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Text!$Q$386:$T$386</c15:sqref>
                  </c15:fullRef>
                </c:ext>
              </c:extLst>
              <c:f>Text!$T$386</c:f>
              <c:numCache>
                <c:formatCode>General</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Text!$Q$387:$T$387</c15:sqref>
                  </c15:fullRef>
                </c:ext>
              </c:extLst>
              <c:f>Text!$T$387</c:f>
              <c:numCache>
                <c:formatCode>General</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Text!$Q$388:$T$388</c15:sqref>
                  </c15:fullRef>
                </c:ext>
              </c:extLst>
              <c:f>Text!$T$388</c:f>
              <c:numCache>
                <c:formatCode>General</c:formatCode>
                <c:ptCount val="1"/>
                <c:pt idx="0">
                  <c:v>-0.5</c:v>
                </c:pt>
              </c:numCache>
            </c:numRef>
          </c:val>
          <c:extLst>
            <c:ext xmlns:c16="http://schemas.microsoft.com/office/drawing/2014/chart" uri="{C3380CC4-5D6E-409C-BE32-E72D297353CC}">
              <c16:uniqueId val="{0000000C-07C0-4B17-B849-E766EB0EB759}"/>
            </c:ext>
          </c:extLst>
        </c:ser>
        <c:ser>
          <c:idx val="5"/>
          <c:order val="5"/>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Text!$Q$389:$T$389</c15:sqref>
                  </c15:fullRef>
                </c:ext>
              </c:extLst>
              <c:f>Text!$T$389</c:f>
              <c:numCache>
                <c:formatCode>General</c:formatCode>
                <c:ptCount val="1"/>
                <c:pt idx="0">
                  <c:v>-0.15</c:v>
                </c:pt>
              </c:numCache>
            </c:numRef>
          </c:val>
          <c:extLst>
            <c:ext xmlns:c16="http://schemas.microsoft.com/office/drawing/2014/chart" uri="{C3380CC4-5D6E-409C-BE32-E72D297353CC}">
              <c16:uniqueId val="{0000000D-07C0-4B17-B849-E766EB0EB759}"/>
            </c:ext>
          </c:extLst>
        </c:ser>
        <c:ser>
          <c:idx val="6"/>
          <c:order val="6"/>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Text!$Q$390:$T$390</c15:sqref>
                  </c15:fullRef>
                </c:ext>
              </c:extLst>
              <c:f>Text!$T$390</c:f>
              <c:numCache>
                <c:formatCode>General</c:formatCode>
                <c:ptCount val="1"/>
                <c:pt idx="0">
                  <c:v>-0.2</c:v>
                </c:pt>
              </c:numCache>
            </c:numRef>
          </c:val>
          <c:extLst>
            <c:ext xmlns:c16="http://schemas.microsoft.com/office/drawing/2014/chart" uri="{C3380CC4-5D6E-409C-BE32-E72D297353CC}">
              <c16:uniqueId val="{0000000E-07C0-4B17-B849-E766EB0EB759}"/>
            </c:ext>
          </c:extLst>
        </c:ser>
        <c:ser>
          <c:idx val="7"/>
          <c:order val="7"/>
          <c:spPr>
            <a:solidFill>
              <a:sysClr val="window" lastClr="FFFFFF"/>
            </a:solidFill>
            <a:ln>
              <a:solidFill>
                <a:srgbClr val="FFC000">
                  <a:lumMod val="75000"/>
                </a:srgbClr>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Text!$Q$391:$T$391</c15:sqref>
                  </c15:fullRef>
                </c:ext>
              </c:extLst>
              <c:f>Text!$T$391</c:f>
              <c:numCache>
                <c:formatCode>General</c:formatCode>
                <c:ptCount val="1"/>
                <c:pt idx="0">
                  <c:v>-0.15</c:v>
                </c:pt>
              </c:numCache>
            </c:numRef>
          </c:val>
          <c:extLst>
            <c:ext xmlns:c16="http://schemas.microsoft.com/office/drawing/2014/chart" uri="{C3380CC4-5D6E-409C-BE32-E72D297353CC}">
              <c16:uniqueId val="{0000000F-07C0-4B17-B849-E766EB0EB759}"/>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General" sourceLinked="1"/>
        <c:majorTickMark val="out"/>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FFC000">
          <a:lumMod val="75000"/>
        </a:srgb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691719868696786"/>
          <c:y val="0.19306339519756885"/>
          <c:w val="0.55742113008904837"/>
          <c:h val="0.74110828186245392"/>
        </c:manualLayout>
      </c:layout>
      <c:radarChart>
        <c:radarStyle val="filled"/>
        <c:varyColors val="0"/>
        <c:ser>
          <c:idx val="0"/>
          <c:order val="0"/>
          <c:spPr>
            <a:noFill/>
            <a:ln w="25400">
              <a:noFill/>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no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Text!$X$396:$X$399</c:f>
              <c:numCache>
                <c:formatCode>General</c:formatCode>
                <c:ptCount val="4"/>
              </c:numCache>
            </c:numRef>
          </c:cat>
          <c:val>
            <c:numRef>
              <c:f>(Text!$Y$394:$Y$395,Text!$Y$396:$Y$397,Text!$Y$398:$Y$399)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B65-4A6A-A1E4-3DBAFA021C71}"/>
            </c:ext>
          </c:extLst>
        </c:ser>
        <c:dLbls>
          <c:showLegendKey val="0"/>
          <c:showVal val="1"/>
          <c:showCatName val="0"/>
          <c:showSerName val="0"/>
          <c:showPercent val="0"/>
          <c:showBubbleSize val="0"/>
        </c:dLbls>
        <c:axId val="1124657088"/>
        <c:axId val="1124652096"/>
      </c:radarChart>
      <c:catAx>
        <c:axId val="1124657088"/>
        <c:scaling>
          <c:orientation val="minMax"/>
        </c:scaling>
        <c:delete val="0"/>
        <c:axPos val="b"/>
        <c:numFmt formatCode="General" sourceLinked="1"/>
        <c:majorTickMark val="none"/>
        <c:minorTickMark val="none"/>
        <c:tickLblPos val="nextTo"/>
        <c:spPr>
          <a:noFill/>
          <a:ln w="9525" cap="flat" cmpd="sng" algn="ctr">
            <a:solidFill>
              <a:srgbClr val="C00000"/>
            </a:solidFill>
            <a:round/>
          </a:ln>
          <a:effectLst/>
        </c:spPr>
        <c:txPr>
          <a:bodyPr rot="0" spcFirstLastPara="1" vertOverflow="ellipsis" wrap="square" anchor="ctr" anchorCtr="1"/>
          <a:lstStyle/>
          <a:p>
            <a:pPr>
              <a:defRPr sz="900" b="0" i="0" u="none" strike="noStrike" kern="1200" baseline="0">
                <a:noFill/>
                <a:latin typeface="+mn-lt"/>
                <a:ea typeface="+mn-ea"/>
                <a:cs typeface="+mn-cs"/>
              </a:defRPr>
            </a:pPr>
            <a:endParaRPr lang="de-DE"/>
          </a:p>
        </c:txPr>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1124657088"/>
        <c:crosses val="autoZero"/>
        <c:crossBetween val="between"/>
        <c:majorUnit val="0.25"/>
      </c:valAx>
      <c:spPr>
        <a:noFill/>
        <a:ln>
          <a:noFill/>
        </a:ln>
        <a:effectLst/>
      </c:spPr>
    </c:plotArea>
    <c:plotVisOnly val="1"/>
    <c:dispBlanksAs val="gap"/>
    <c:showDLblsOverMax val="0"/>
  </c:chart>
  <c:spPr>
    <a:noFill/>
    <a:ln w="9525" cap="flat" cmpd="sng" algn="ctr">
      <a:noFill/>
      <a:round/>
    </a:ln>
    <a:effectLst/>
  </c:spPr>
  <c:txPr>
    <a:bodyPr/>
    <a:lstStyle/>
    <a:p>
      <a:pPr>
        <a:defRPr>
          <a:noFill/>
        </a:defRPr>
      </a:pPr>
      <a:endParaRPr lang="de-DE"/>
    </a:p>
  </c:txPr>
  <c:printSettings>
    <c:headerFooter/>
    <c:pageMargins b="0.78740157499999996" l="0.7" r="0.7" t="0.78740157499999996" header="0.3" footer="0.3"/>
    <c:pageSetup/>
  </c:printSettings>
  <c:userShapes r:id="rId3"/>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691719868696786"/>
          <c:y val="0.19306339519756885"/>
          <c:w val="0.55742113008904837"/>
          <c:h val="0.74110828186245392"/>
        </c:manualLayout>
      </c:layout>
      <c:radarChart>
        <c:radarStyle val="filled"/>
        <c:varyColors val="0"/>
        <c:ser>
          <c:idx val="0"/>
          <c:order val="0"/>
          <c:spPr>
            <a:noFill/>
            <a:ln w="25400">
              <a:noFill/>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no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Text!$AD$400:$AD$402</c:f>
              <c:numCache>
                <c:formatCode>General</c:formatCode>
                <c:ptCount val="3"/>
              </c:numCache>
            </c:numRef>
          </c:cat>
          <c:val>
            <c:numRef>
              <c:f>(Text!$AE$393:$AE$396,Text!$AE$397:$AE$398,Text!$AE$399:$AE$401)</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8AFE-42CE-8F7A-707E64483E90}"/>
            </c:ext>
          </c:extLst>
        </c:ser>
        <c:dLbls>
          <c:showLegendKey val="0"/>
          <c:showVal val="1"/>
          <c:showCatName val="0"/>
          <c:showSerName val="0"/>
          <c:showPercent val="0"/>
          <c:showBubbleSize val="0"/>
        </c:dLbls>
        <c:axId val="1124657088"/>
        <c:axId val="1124652096"/>
      </c:radarChart>
      <c:catAx>
        <c:axId val="1124657088"/>
        <c:scaling>
          <c:orientation val="minMax"/>
        </c:scaling>
        <c:delete val="0"/>
        <c:axPos val="b"/>
        <c:numFmt formatCode="General" sourceLinked="1"/>
        <c:majorTickMark val="none"/>
        <c:minorTickMark val="none"/>
        <c:tickLblPos val="nextTo"/>
        <c:spPr>
          <a:noFill/>
          <a:ln w="9525" cap="flat" cmpd="sng" algn="ctr">
            <a:solidFill>
              <a:srgbClr val="C00000"/>
            </a:solidFill>
            <a:round/>
          </a:ln>
          <a:effectLst/>
        </c:spPr>
        <c:txPr>
          <a:bodyPr rot="0" spcFirstLastPara="1" vertOverflow="ellipsis" wrap="square" anchor="ctr" anchorCtr="1"/>
          <a:lstStyle/>
          <a:p>
            <a:pPr>
              <a:defRPr sz="900" b="0" i="0" u="none" strike="noStrike" kern="1200" baseline="0">
                <a:noFill/>
                <a:latin typeface="+mn-lt"/>
                <a:ea typeface="+mn-ea"/>
                <a:cs typeface="+mn-cs"/>
              </a:defRPr>
            </a:pPr>
            <a:endParaRPr lang="de-DE"/>
          </a:p>
        </c:txPr>
        <c:crossAx val="1124652096"/>
        <c:crosses val="autoZero"/>
        <c:auto val="1"/>
        <c:lblAlgn val="ctr"/>
        <c:lblOffset val="100"/>
        <c:noMultiLvlLbl val="0"/>
      </c:catAx>
      <c:valAx>
        <c:axId val="1124652096"/>
        <c:scaling>
          <c:orientation val="minMax"/>
          <c:max val="1"/>
          <c:min val="-0.25"/>
        </c:scaling>
        <c:delete val="0"/>
        <c:axPos val="l"/>
        <c:majorGridlines>
          <c:spPr>
            <a:ln w="9525" cap="flat" cmpd="sng" algn="ctr">
              <a:solidFill>
                <a:schemeClr val="bg1">
                  <a:lumMod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1124657088"/>
        <c:crosses val="autoZero"/>
        <c:crossBetween val="between"/>
        <c:majorUnit val="0.25"/>
      </c:valAx>
      <c:spPr>
        <a:noFill/>
        <a:ln>
          <a:noFill/>
        </a:ln>
        <a:effectLst/>
      </c:spPr>
    </c:plotArea>
    <c:plotVisOnly val="1"/>
    <c:dispBlanksAs val="gap"/>
    <c:showDLblsOverMax val="0"/>
  </c:chart>
  <c:spPr>
    <a:noFill/>
    <a:ln w="9525" cap="flat" cmpd="sng" algn="ctr">
      <a:noFill/>
      <a:round/>
    </a:ln>
    <a:effectLst/>
  </c:spPr>
  <c:txPr>
    <a:bodyPr/>
    <a:lstStyle/>
    <a:p>
      <a:pPr>
        <a:defRPr>
          <a:noFill/>
        </a:defRPr>
      </a:pPr>
      <a:endParaRPr lang="de-DE"/>
    </a:p>
  </c:txPr>
  <c:printSettings>
    <c:headerFooter/>
    <c:pageMargins b="0.78740157499999996" l="0.7" r="0.7" t="0.78740157499999996" header="0.3" footer="0.3"/>
    <c:pageSetup/>
  </c:printSettings>
  <c:userShapes r:id="rId3"/>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Text!$Y$362:$Z$362</c:f>
              <c:numCache>
                <c:formatCode>0.00</c:formatCode>
                <c:ptCount val="2"/>
                <c:pt idx="0">
                  <c:v>0</c:v>
                </c:pt>
                <c:pt idx="1">
                  <c:v>0</c:v>
                </c:pt>
              </c:numCache>
            </c:numRef>
          </c:val>
          <c:extLst>
            <c:ext xmlns:c16="http://schemas.microsoft.com/office/drawing/2014/chart" uri="{C3380CC4-5D6E-409C-BE32-E72D297353CC}">
              <c16:uniqueId val="{00000000-BE47-4AA5-B732-45D187D3AFBB}"/>
            </c:ext>
          </c:extLst>
        </c:ser>
        <c:ser>
          <c:idx val="1"/>
          <c:order val="1"/>
          <c:spPr>
            <a:solidFill>
              <a:srgbClr val="FFD1D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Text!$Y$363:$Z$363</c:f>
              <c:numCache>
                <c:formatCode>0.00</c:formatCode>
                <c:ptCount val="2"/>
                <c:pt idx="0">
                  <c:v>0</c:v>
                </c:pt>
                <c:pt idx="1">
                  <c:v>0</c:v>
                </c:pt>
              </c:numCache>
            </c:numRef>
          </c:val>
          <c:extLst>
            <c:ext xmlns:c16="http://schemas.microsoft.com/office/drawing/2014/chart" uri="{C3380CC4-5D6E-409C-BE32-E72D297353CC}">
              <c16:uniqueId val="{00000001-BE47-4AA5-B732-45D187D3AFBB}"/>
            </c:ext>
          </c:extLst>
        </c:ser>
        <c:ser>
          <c:idx val="2"/>
          <c:order val="2"/>
          <c:spPr>
            <a:solidFill>
              <a:srgbClr val="FFD1D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Text!$Y$364:$Z$364</c:f>
              <c:numCache>
                <c:formatCode>0.00</c:formatCode>
                <c:ptCount val="2"/>
                <c:pt idx="0">
                  <c:v>0</c:v>
                </c:pt>
                <c:pt idx="1">
                  <c:v>0</c:v>
                </c:pt>
              </c:numCache>
            </c:numRef>
          </c:val>
          <c:extLst>
            <c:ext xmlns:c16="http://schemas.microsoft.com/office/drawing/2014/chart" uri="{C3380CC4-5D6E-409C-BE32-E72D297353CC}">
              <c16:uniqueId val="{00000002-BE47-4AA5-B732-45D187D3AFBB}"/>
            </c:ext>
          </c:extLst>
        </c:ser>
        <c:ser>
          <c:idx val="3"/>
          <c:order val="3"/>
          <c:spPr>
            <a:solidFill>
              <a:srgbClr val="FFD1D1"/>
            </a:solidFill>
            <a:ln>
              <a:solidFill>
                <a:srgbClr val="C00000"/>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Text!$Y$365:$Z$365</c:f>
              <c:numCache>
                <c:formatCode>0.00</c:formatCode>
                <c:ptCount val="2"/>
                <c:pt idx="0">
                  <c:v>0</c:v>
                </c:pt>
                <c:pt idx="1">
                  <c:v>0</c:v>
                </c:pt>
              </c:numCache>
            </c:numRef>
          </c:val>
          <c:extLst>
            <c:ext xmlns:c16="http://schemas.microsoft.com/office/drawing/2014/chart" uri="{C3380CC4-5D6E-409C-BE32-E72D297353CC}">
              <c16:uniqueId val="{00000003-BE47-4AA5-B732-45D187D3AFBB}"/>
            </c:ext>
          </c:extLst>
        </c:ser>
        <c:ser>
          <c:idx val="4"/>
          <c:order val="4"/>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Text!$Y$366:$Z$366</c:f>
              <c:numCache>
                <c:formatCode>0.00</c:formatCode>
                <c:ptCount val="2"/>
                <c:pt idx="0">
                  <c:v>0.5</c:v>
                </c:pt>
                <c:pt idx="1">
                  <c:v>0.5</c:v>
                </c:pt>
              </c:numCache>
            </c:numRef>
          </c:val>
          <c:extLst>
            <c:ext xmlns:c16="http://schemas.microsoft.com/office/drawing/2014/chart" uri="{C3380CC4-5D6E-409C-BE32-E72D297353CC}">
              <c16:uniqueId val="{00000004-BE47-4AA5-B732-45D187D3AFBB}"/>
            </c:ext>
          </c:extLst>
        </c:ser>
        <c:ser>
          <c:idx val="5"/>
          <c:order val="5"/>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Text!$Y$367:$Z$367</c:f>
              <c:numCache>
                <c:formatCode>0.00</c:formatCode>
                <c:ptCount val="2"/>
                <c:pt idx="0">
                  <c:v>0.15</c:v>
                </c:pt>
                <c:pt idx="1">
                  <c:v>0.15</c:v>
                </c:pt>
              </c:numCache>
            </c:numRef>
          </c:val>
          <c:extLst>
            <c:ext xmlns:c16="http://schemas.microsoft.com/office/drawing/2014/chart" uri="{C3380CC4-5D6E-409C-BE32-E72D297353CC}">
              <c16:uniqueId val="{00000005-BE47-4AA5-B732-45D187D3AFBB}"/>
            </c:ext>
          </c:extLst>
        </c:ser>
        <c:ser>
          <c:idx val="6"/>
          <c:order val="6"/>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Text!$Y$368:$Z$368</c:f>
              <c:numCache>
                <c:formatCode>0.00</c:formatCode>
                <c:ptCount val="2"/>
                <c:pt idx="0">
                  <c:v>0.2</c:v>
                </c:pt>
                <c:pt idx="1">
                  <c:v>0.2</c:v>
                </c:pt>
              </c:numCache>
            </c:numRef>
          </c:val>
          <c:extLst>
            <c:ext xmlns:c16="http://schemas.microsoft.com/office/drawing/2014/chart" uri="{C3380CC4-5D6E-409C-BE32-E72D297353CC}">
              <c16:uniqueId val="{00000006-BE47-4AA5-B732-45D187D3AFBB}"/>
            </c:ext>
          </c:extLst>
        </c:ser>
        <c:ser>
          <c:idx val="7"/>
          <c:order val="7"/>
          <c:spPr>
            <a:solidFill>
              <a:sysClr val="window" lastClr="FFFFFF"/>
            </a:solidFill>
            <a:ln>
              <a:solidFill>
                <a:srgbClr val="76B729"/>
              </a:solidFill>
            </a:ln>
            <a:effectLst/>
          </c:spPr>
          <c:invertIfNegative val="0"/>
          <c:cat>
            <c:strLit>
              <c:ptCount val="2"/>
              <c:pt idx="0">
                <c:v>3</c:v>
              </c:pt>
              <c:pt idx="1">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Text!$Y$369:$Z$369</c:f>
              <c:numCache>
                <c:formatCode>0.00</c:formatCode>
                <c:ptCount val="2"/>
                <c:pt idx="0">
                  <c:v>0.15</c:v>
                </c:pt>
                <c:pt idx="1">
                  <c:v>0.15</c:v>
                </c:pt>
              </c:numCache>
            </c:numRef>
          </c:val>
          <c:extLst>
            <c:ext xmlns:c16="http://schemas.microsoft.com/office/drawing/2014/chart" uri="{C3380CC4-5D6E-409C-BE32-E72D297353CC}">
              <c16:uniqueId val="{00000007-BE47-4AA5-B732-45D187D3AFBB}"/>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Text!$W$362:$Z$362</c15:sqref>
                  </c15:fullRef>
                </c:ext>
              </c:extLst>
              <c:f>Text!$W$362</c:f>
              <c:numCache>
                <c:formatCode>0.00</c:formatCode>
                <c:ptCount val="1"/>
                <c:pt idx="0">
                  <c:v>0</c:v>
                </c:pt>
              </c:numCache>
            </c:numRef>
          </c:val>
          <c:extLst>
            <c:ext xmlns:c16="http://schemas.microsoft.com/office/drawing/2014/chart" uri="{C3380CC4-5D6E-409C-BE32-E72D297353CC}">
              <c16:uniqueId val="{00000000-BE47-4AA5-B732-45D187D3AFBB}"/>
            </c:ext>
          </c:extLst>
        </c:ser>
        <c:ser>
          <c:idx val="1"/>
          <c:order val="1"/>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Text!$W$363:$Z$363</c15:sqref>
                  </c15:fullRef>
                </c:ext>
              </c:extLst>
              <c:f>Text!$W$363</c:f>
              <c:numCache>
                <c:formatCode>0.00</c:formatCode>
                <c:ptCount val="1"/>
                <c:pt idx="0">
                  <c:v>0</c:v>
                </c:pt>
              </c:numCache>
            </c:numRef>
          </c:val>
          <c:extLst>
            <c:ext xmlns:c16="http://schemas.microsoft.com/office/drawing/2014/chart" uri="{C3380CC4-5D6E-409C-BE32-E72D297353CC}">
              <c16:uniqueId val="{00000001-BE47-4AA5-B732-45D187D3AFBB}"/>
            </c:ext>
          </c:extLst>
        </c:ser>
        <c:ser>
          <c:idx val="2"/>
          <c:order val="2"/>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Text!$W$364:$Z$364</c15:sqref>
                  </c15:fullRef>
                </c:ext>
              </c:extLst>
              <c:f>Text!$W$364</c:f>
              <c:numCache>
                <c:formatCode>0.00</c:formatCode>
                <c:ptCount val="1"/>
                <c:pt idx="0">
                  <c:v>0</c:v>
                </c:pt>
              </c:numCache>
            </c:numRef>
          </c:val>
          <c:extLst>
            <c:ext xmlns:c16="http://schemas.microsoft.com/office/drawing/2014/chart" uri="{C3380CC4-5D6E-409C-BE32-E72D297353CC}">
              <c16:uniqueId val="{00000002-BE47-4AA5-B732-45D187D3AFBB}"/>
            </c:ext>
          </c:extLst>
        </c:ser>
        <c:ser>
          <c:idx val="3"/>
          <c:order val="3"/>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Text!$W$365:$Z$365</c15:sqref>
                  </c15:fullRef>
                </c:ext>
              </c:extLst>
              <c:f>Text!$W$365</c:f>
              <c:numCache>
                <c:formatCode>0.00</c:formatCode>
                <c:ptCount val="1"/>
                <c:pt idx="0">
                  <c:v>0</c:v>
                </c:pt>
              </c:numCache>
            </c:numRef>
          </c:val>
          <c:extLst>
            <c:ext xmlns:c16="http://schemas.microsoft.com/office/drawing/2014/chart" uri="{C3380CC4-5D6E-409C-BE32-E72D297353CC}">
              <c16:uniqueId val="{00000003-BE47-4AA5-B732-45D187D3AFBB}"/>
            </c:ext>
          </c:extLst>
        </c:ser>
        <c:ser>
          <c:idx val="4"/>
          <c:order val="4"/>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Text!$W$366:$Z$366</c15:sqref>
                  </c15:fullRef>
                </c:ext>
              </c:extLst>
              <c:f>Text!$W$366</c:f>
              <c:numCache>
                <c:formatCode>0.00</c:formatCode>
                <c:ptCount val="1"/>
                <c:pt idx="0">
                  <c:v>0.5</c:v>
                </c:pt>
              </c:numCache>
            </c:numRef>
          </c:val>
          <c:extLst>
            <c:ext xmlns:c16="http://schemas.microsoft.com/office/drawing/2014/chart" uri="{C3380CC4-5D6E-409C-BE32-E72D297353CC}">
              <c16:uniqueId val="{00000004-BE47-4AA5-B732-45D187D3AFBB}"/>
            </c:ext>
          </c:extLst>
        </c:ser>
        <c:ser>
          <c:idx val="5"/>
          <c:order val="5"/>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Text!$W$367:$Z$367</c15:sqref>
                  </c15:fullRef>
                </c:ext>
              </c:extLst>
              <c:f>Text!$W$367</c:f>
              <c:numCache>
                <c:formatCode>0.00</c:formatCode>
                <c:ptCount val="1"/>
                <c:pt idx="0">
                  <c:v>0.15</c:v>
                </c:pt>
              </c:numCache>
            </c:numRef>
          </c:val>
          <c:extLst>
            <c:ext xmlns:c16="http://schemas.microsoft.com/office/drawing/2014/chart" uri="{C3380CC4-5D6E-409C-BE32-E72D297353CC}">
              <c16:uniqueId val="{00000005-BE47-4AA5-B732-45D187D3AFBB}"/>
            </c:ext>
          </c:extLst>
        </c:ser>
        <c:ser>
          <c:idx val="6"/>
          <c:order val="6"/>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Text!$W$368:$Z$368</c15:sqref>
                  </c15:fullRef>
                </c:ext>
              </c:extLst>
              <c:f>Text!$W$368</c:f>
              <c:numCache>
                <c:formatCode>0.00</c:formatCode>
                <c:ptCount val="1"/>
                <c:pt idx="0">
                  <c:v>0.2</c:v>
                </c:pt>
              </c:numCache>
            </c:numRef>
          </c:val>
          <c:extLst>
            <c:ext xmlns:c16="http://schemas.microsoft.com/office/drawing/2014/chart" uri="{C3380CC4-5D6E-409C-BE32-E72D297353CC}">
              <c16:uniqueId val="{00000006-BE47-4AA5-B732-45D187D3AFBB}"/>
            </c:ext>
          </c:extLst>
        </c:ser>
        <c:ser>
          <c:idx val="7"/>
          <c:order val="7"/>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Text!$W$369:$Z$369</c15:sqref>
                  </c15:fullRef>
                </c:ext>
              </c:extLst>
              <c:f>Text!$W$369</c:f>
              <c:numCache>
                <c:formatCode>0.00</c:formatCode>
                <c:ptCount val="1"/>
                <c:pt idx="0">
                  <c:v>0.15</c:v>
                </c:pt>
              </c:numCache>
            </c:numRef>
          </c:val>
          <c:extLst>
            <c:ext xmlns:c16="http://schemas.microsoft.com/office/drawing/2014/chart" uri="{C3380CC4-5D6E-409C-BE32-E72D297353CC}">
              <c16:uniqueId val="{00000007-BE47-4AA5-B732-45D187D3AFBB}"/>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Text!$Q$362:$T$362</c15:sqref>
                  </c15:fullRef>
                </c:ext>
              </c:extLst>
              <c:f>Text!$R$362</c:f>
              <c:numCache>
                <c:formatCode>0.00</c:formatCode>
                <c:ptCount val="1"/>
                <c:pt idx="0">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Text!$Q$363:$T$363</c15:sqref>
                  </c15:fullRef>
                </c:ext>
              </c:extLst>
              <c:f>Text!$R$363</c:f>
              <c:numCache>
                <c:formatCode>0.00</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Text!$Q$364:$T$364</c15:sqref>
                  </c15:fullRef>
                </c:ext>
              </c:extLst>
              <c:f>Text!$R$364</c:f>
              <c:numCache>
                <c:formatCode>0.00</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Text!$Q$365:$T$365</c15:sqref>
                  </c15:fullRef>
                </c:ext>
              </c:extLst>
              <c:f>Text!$R$365</c:f>
              <c:numCache>
                <c:formatCode>0.00</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Text!$Q$366:$T$366</c15:sqref>
                  </c15:fullRef>
                </c:ext>
              </c:extLst>
              <c:f>Text!$R$366</c:f>
              <c:numCache>
                <c:formatCode>0.00</c:formatCode>
                <c:ptCount val="1"/>
                <c:pt idx="0">
                  <c:v>-0.5</c:v>
                </c:pt>
              </c:numCache>
            </c:numRef>
          </c:val>
          <c:extLst>
            <c:ext xmlns:c16="http://schemas.microsoft.com/office/drawing/2014/chart" uri="{C3380CC4-5D6E-409C-BE32-E72D297353CC}">
              <c16:uniqueId val="{0000000C-3B11-4C64-A288-1808F98D0216}"/>
            </c:ext>
          </c:extLst>
        </c:ser>
        <c:ser>
          <c:idx val="5"/>
          <c:order val="5"/>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Text!$Q$367:$T$367</c15:sqref>
                  </c15:fullRef>
                </c:ext>
              </c:extLst>
              <c:f>Text!$R$367</c:f>
              <c:numCache>
                <c:formatCode>0.00</c:formatCode>
                <c:ptCount val="1"/>
                <c:pt idx="0">
                  <c:v>-0.15</c:v>
                </c:pt>
              </c:numCache>
            </c:numRef>
          </c:val>
          <c:extLst>
            <c:ext xmlns:c16="http://schemas.microsoft.com/office/drawing/2014/chart" uri="{C3380CC4-5D6E-409C-BE32-E72D297353CC}">
              <c16:uniqueId val="{0000000D-3B11-4C64-A288-1808F98D0216}"/>
            </c:ext>
          </c:extLst>
        </c:ser>
        <c:ser>
          <c:idx val="6"/>
          <c:order val="6"/>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Text!$Q$368:$T$368</c15:sqref>
                  </c15:fullRef>
                </c:ext>
              </c:extLst>
              <c:f>Text!$R$368</c:f>
              <c:numCache>
                <c:formatCode>0.00</c:formatCode>
                <c:ptCount val="1"/>
                <c:pt idx="0">
                  <c:v>-0.2</c:v>
                </c:pt>
              </c:numCache>
            </c:numRef>
          </c:val>
          <c:extLst>
            <c:ext xmlns:c16="http://schemas.microsoft.com/office/drawing/2014/chart" uri="{C3380CC4-5D6E-409C-BE32-E72D297353CC}">
              <c16:uniqueId val="{0000000E-3B11-4C64-A288-1808F98D0216}"/>
            </c:ext>
          </c:extLst>
        </c:ser>
        <c:ser>
          <c:idx val="7"/>
          <c:order val="7"/>
          <c:spPr>
            <a:solidFill>
              <a:sysClr val="window" lastClr="FFFFFF"/>
            </a:solidFill>
            <a:ln>
              <a:solidFill>
                <a:srgbClr val="76B729"/>
              </a:solidFill>
            </a:ln>
            <a:effectLst/>
          </c:spPr>
          <c:invertIfNegative val="0"/>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Text!$Q$369:$T$369</c15:sqref>
                  </c15:fullRef>
                </c:ext>
              </c:extLst>
              <c:f>Text!$R$369</c:f>
              <c:numCache>
                <c:formatCode>0.00</c:formatCode>
                <c:ptCount val="1"/>
                <c:pt idx="0">
                  <c:v>-0.15</c:v>
                </c:pt>
              </c:numCache>
            </c:numRef>
          </c:val>
          <c:extLst>
            <c:ext xmlns:c16="http://schemas.microsoft.com/office/drawing/2014/chart" uri="{C3380CC4-5D6E-409C-BE32-E72D297353CC}">
              <c16:uniqueId val="{0000000F-3B11-4C64-A288-1808F98D0216}"/>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76B729"/>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Text!$Q$362:$T$362</c15:sqref>
                  </c15:fullRef>
                </c:ext>
              </c:extLst>
              <c:f>Text!$Q$362</c:f>
              <c:numCache>
                <c:formatCode>0.00</c:formatCode>
                <c:ptCount val="1"/>
                <c:pt idx="0">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Text!$Q$363:$T$363</c15:sqref>
                  </c15:fullRef>
                </c:ext>
              </c:extLst>
              <c:f>Text!$Q$363</c:f>
              <c:numCache>
                <c:formatCode>0.00</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Text!$Q$364:$T$364</c15:sqref>
                  </c15:fullRef>
                </c:ext>
              </c:extLst>
              <c:f>Text!$Q$364</c:f>
              <c:numCache>
                <c:formatCode>0.00</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C00000"/>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Text!$Q$365:$T$365</c15:sqref>
                  </c15:fullRef>
                </c:ext>
              </c:extLst>
              <c:f>Text!$Q$365</c:f>
              <c:numCache>
                <c:formatCode>0.00</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Text!$Q$366:$T$366</c15:sqref>
                  </c15:fullRef>
                </c:ext>
              </c:extLst>
              <c:f>Text!$Q$366</c:f>
              <c:numCache>
                <c:formatCode>0.00</c:formatCode>
                <c:ptCount val="1"/>
                <c:pt idx="0">
                  <c:v>-0.5</c:v>
                </c:pt>
              </c:numCache>
            </c:numRef>
          </c:val>
          <c:extLst>
            <c:ext xmlns:c16="http://schemas.microsoft.com/office/drawing/2014/chart" uri="{C3380CC4-5D6E-409C-BE32-E72D297353CC}">
              <c16:uniqueId val="{0000000C-3B11-4C64-A288-1808F98D0216}"/>
            </c:ext>
          </c:extLst>
        </c:ser>
        <c:ser>
          <c:idx val="5"/>
          <c:order val="5"/>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Text!$Q$367:$T$367</c15:sqref>
                  </c15:fullRef>
                </c:ext>
              </c:extLst>
              <c:f>Text!$Q$367</c:f>
              <c:numCache>
                <c:formatCode>0.00</c:formatCode>
                <c:ptCount val="1"/>
                <c:pt idx="0">
                  <c:v>-0.15</c:v>
                </c:pt>
              </c:numCache>
            </c:numRef>
          </c:val>
          <c:extLst>
            <c:ext xmlns:c16="http://schemas.microsoft.com/office/drawing/2014/chart" uri="{C3380CC4-5D6E-409C-BE32-E72D297353CC}">
              <c16:uniqueId val="{0000000D-3B11-4C64-A288-1808F98D0216}"/>
            </c:ext>
          </c:extLst>
        </c:ser>
        <c:ser>
          <c:idx val="6"/>
          <c:order val="6"/>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Text!$Q$368:$T$368</c15:sqref>
                  </c15:fullRef>
                </c:ext>
              </c:extLst>
              <c:f>Text!$Q$368</c:f>
              <c:numCache>
                <c:formatCode>0.00</c:formatCode>
                <c:ptCount val="1"/>
                <c:pt idx="0">
                  <c:v>-0.2</c:v>
                </c:pt>
              </c:numCache>
            </c:numRef>
          </c:val>
          <c:extLst>
            <c:ext xmlns:c16="http://schemas.microsoft.com/office/drawing/2014/chart" uri="{C3380CC4-5D6E-409C-BE32-E72D297353CC}">
              <c16:uniqueId val="{0000000E-3B11-4C64-A288-1808F98D0216}"/>
            </c:ext>
          </c:extLst>
        </c:ser>
        <c:ser>
          <c:idx val="7"/>
          <c:order val="7"/>
          <c:spPr>
            <a:solidFill>
              <a:sysClr val="window" lastClr="FFFFFF"/>
            </a:solidFill>
            <a:ln>
              <a:solidFill>
                <a:srgbClr val="76B729"/>
              </a:solidFill>
            </a:ln>
            <a:effectLst/>
          </c:spPr>
          <c:invertIfNegative val="0"/>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Text!$Q$369:$T$369</c15:sqref>
                  </c15:fullRef>
                </c:ext>
              </c:extLst>
              <c:f>Text!$Q$369</c:f>
              <c:numCache>
                <c:formatCode>0.00</c:formatCode>
                <c:ptCount val="1"/>
                <c:pt idx="0">
                  <c:v>-0.15</c:v>
                </c:pt>
              </c:numCache>
            </c:numRef>
          </c:val>
          <c:extLst>
            <c:ext xmlns:c16="http://schemas.microsoft.com/office/drawing/2014/chart" uri="{C3380CC4-5D6E-409C-BE32-E72D297353CC}">
              <c16:uniqueId val="{0000000F-3B11-4C64-A288-1808F98D0216}"/>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out"/>
        <c:minorTickMark val="none"/>
        <c:tickLblPos val="nextTo"/>
        <c:crossAx val="1168859728"/>
        <c:crosses val="autoZero"/>
        <c:auto val="1"/>
        <c:lblAlgn val="ctr"/>
        <c:lblOffset val="100"/>
        <c:tickLblSkip val="1"/>
        <c:noMultiLvlLbl val="0"/>
      </c:catAx>
      <c:valAx>
        <c:axId val="1168859728"/>
        <c:scaling>
          <c:orientation val="minMax"/>
          <c:max val="0"/>
          <c:min val="-1"/>
        </c:scaling>
        <c:delete val="1"/>
        <c:axPos val="b"/>
        <c:numFmt formatCode="0.00" sourceLinked="1"/>
        <c:majorTickMark val="out"/>
        <c:minorTickMark val="none"/>
        <c:tickLblPos val="nextTo"/>
        <c:crossAx val="1168858480"/>
        <c:crosses val="autoZero"/>
        <c:crossBetween val="between"/>
      </c:valAx>
      <c:spPr>
        <a:noFill/>
        <a:ln>
          <a:solidFill>
            <a:srgbClr val="76B729"/>
          </a:solid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
          <c:w val="1"/>
          <c:h val="1"/>
        </c:manualLayout>
      </c:layout>
      <c:barChart>
        <c:barDir val="bar"/>
        <c:grouping val="stacked"/>
        <c:varyColors val="0"/>
        <c:ser>
          <c:idx val="0"/>
          <c:order val="0"/>
          <c:spPr>
            <a:solidFill>
              <a:schemeClr val="accent1"/>
            </a:solidFill>
            <a:ln>
              <a:solidFill>
                <a:srgbClr val="E30613"/>
              </a:solidFill>
            </a:ln>
            <a:effectLst/>
          </c:spPr>
          <c:invertIfNegative val="0"/>
          <c:dPt>
            <c:idx val="0"/>
            <c:invertIfNegative val="0"/>
            <c:bubble3D val="0"/>
            <c:spPr>
              <a:solidFill>
                <a:srgbClr val="FFD1D1"/>
              </a:solidFill>
              <a:ln>
                <a:solidFill>
                  <a:srgbClr val="E30613"/>
                </a:solidFill>
              </a:ln>
              <a:effectLst/>
            </c:spPr>
            <c:extLst>
              <c:ext xmlns:c16="http://schemas.microsoft.com/office/drawing/2014/chart" uri="{C3380CC4-5D6E-409C-BE32-E72D297353CC}">
                <c16:uniqueId val="{00000000-7308-47D1-8650-F305AF967A6D}"/>
              </c:ext>
            </c:extLst>
          </c:dPt>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Text!$K$339:$N$339</c15:sqref>
                  </c15:fullRef>
                </c:ext>
              </c:extLst>
              <c:f>Text!$N$339</c:f>
              <c:numCache>
                <c:formatCode>0.00</c:formatCode>
                <c:ptCount val="1"/>
                <c:pt idx="0">
                  <c:v>0</c:v>
                </c:pt>
              </c:numCache>
            </c:numRef>
          </c:val>
          <c:extLst>
            <c:ext xmlns:c16="http://schemas.microsoft.com/office/drawing/2014/chart" uri="{C3380CC4-5D6E-409C-BE32-E72D297353CC}">
              <c16:uniqueId val="{00000000-C47B-4343-87C8-8244576EA510}"/>
            </c:ext>
          </c:extLst>
        </c:ser>
        <c:ser>
          <c:idx val="1"/>
          <c:order val="1"/>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Text!$K$340:$N$340</c15:sqref>
                  </c15:fullRef>
                </c:ext>
              </c:extLst>
              <c:f>Text!$N$340</c:f>
              <c:numCache>
                <c:formatCode>0.00</c:formatCode>
                <c:ptCount val="1"/>
                <c:pt idx="0">
                  <c:v>0</c:v>
                </c:pt>
              </c:numCache>
            </c:numRef>
          </c:val>
          <c:extLst>
            <c:ext xmlns:c16="http://schemas.microsoft.com/office/drawing/2014/chart" uri="{C3380CC4-5D6E-409C-BE32-E72D297353CC}">
              <c16:uniqueId val="{00000001-C47B-4343-87C8-8244576EA510}"/>
            </c:ext>
          </c:extLst>
        </c:ser>
        <c:ser>
          <c:idx val="2"/>
          <c:order val="2"/>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Text!$K$341:$N$341</c15:sqref>
                  </c15:fullRef>
                </c:ext>
              </c:extLst>
              <c:f>Text!$N$341</c:f>
              <c:numCache>
                <c:formatCode>0.00</c:formatCode>
                <c:ptCount val="1"/>
                <c:pt idx="0">
                  <c:v>0</c:v>
                </c:pt>
              </c:numCache>
            </c:numRef>
          </c:val>
          <c:extLst>
            <c:ext xmlns:c16="http://schemas.microsoft.com/office/drawing/2014/chart" uri="{C3380CC4-5D6E-409C-BE32-E72D297353CC}">
              <c16:uniqueId val="{00000002-C47B-4343-87C8-8244576EA510}"/>
            </c:ext>
          </c:extLst>
        </c:ser>
        <c:ser>
          <c:idx val="3"/>
          <c:order val="3"/>
          <c:spPr>
            <a:solidFill>
              <a:srgbClr val="FFD1D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Text!$K$342:$N$342</c15:sqref>
                  </c15:fullRef>
                </c:ext>
              </c:extLst>
              <c:f>Text!$N$342</c:f>
              <c:numCache>
                <c:formatCode>0.00</c:formatCode>
                <c:ptCount val="1"/>
                <c:pt idx="0">
                  <c:v>0</c:v>
                </c:pt>
              </c:numCache>
            </c:numRef>
          </c:val>
          <c:extLst>
            <c:ext xmlns:c16="http://schemas.microsoft.com/office/drawing/2014/chart" uri="{C3380CC4-5D6E-409C-BE32-E72D297353CC}">
              <c16:uniqueId val="{00000003-C47B-4343-87C8-8244576EA510}"/>
            </c:ext>
          </c:extLst>
        </c:ser>
        <c:ser>
          <c:idx val="4"/>
          <c:order val="4"/>
          <c:spPr>
            <a:solidFill>
              <a:schemeClr val="bg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Text!$K$343:$N$343</c15:sqref>
                  </c15:fullRef>
                </c:ext>
              </c:extLst>
              <c:f>Text!$N$343</c:f>
              <c:numCache>
                <c:formatCode>0.00</c:formatCode>
                <c:ptCount val="1"/>
                <c:pt idx="0">
                  <c:v>0.5</c:v>
                </c:pt>
              </c:numCache>
            </c:numRef>
          </c:val>
          <c:extLst>
            <c:ext xmlns:c16="http://schemas.microsoft.com/office/drawing/2014/chart" uri="{C3380CC4-5D6E-409C-BE32-E72D297353CC}">
              <c16:uniqueId val="{00000004-C47B-4343-87C8-8244576EA510}"/>
            </c:ext>
          </c:extLst>
        </c:ser>
        <c:ser>
          <c:idx val="5"/>
          <c:order val="5"/>
          <c:spPr>
            <a:solidFill>
              <a:schemeClr val="bg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Text!$K$344:$N$344</c15:sqref>
                  </c15:fullRef>
                </c:ext>
              </c:extLst>
              <c:f>Text!$N$344</c:f>
              <c:numCache>
                <c:formatCode>0.00</c:formatCode>
                <c:ptCount val="1"/>
                <c:pt idx="0">
                  <c:v>0.15</c:v>
                </c:pt>
              </c:numCache>
            </c:numRef>
          </c:val>
          <c:extLst>
            <c:ext xmlns:c16="http://schemas.microsoft.com/office/drawing/2014/chart" uri="{C3380CC4-5D6E-409C-BE32-E72D297353CC}">
              <c16:uniqueId val="{00000005-C47B-4343-87C8-8244576EA510}"/>
            </c:ext>
          </c:extLst>
        </c:ser>
        <c:ser>
          <c:idx val="6"/>
          <c:order val="6"/>
          <c:spPr>
            <a:solidFill>
              <a:schemeClr val="bg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Text!$K$345:$N$345</c15:sqref>
                  </c15:fullRef>
                </c:ext>
              </c:extLst>
              <c:f>Text!$N$345</c:f>
              <c:numCache>
                <c:formatCode>0.00</c:formatCode>
                <c:ptCount val="1"/>
                <c:pt idx="0">
                  <c:v>0.2</c:v>
                </c:pt>
              </c:numCache>
            </c:numRef>
          </c:val>
          <c:extLst>
            <c:ext xmlns:c16="http://schemas.microsoft.com/office/drawing/2014/chart" uri="{C3380CC4-5D6E-409C-BE32-E72D297353CC}">
              <c16:uniqueId val="{00000006-C47B-4343-87C8-8244576EA510}"/>
            </c:ext>
          </c:extLst>
        </c:ser>
        <c:ser>
          <c:idx val="7"/>
          <c:order val="7"/>
          <c:spPr>
            <a:solidFill>
              <a:schemeClr val="bg1"/>
            </a:solidFill>
            <a:ln>
              <a:solidFill>
                <a:srgbClr val="E30613"/>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Text!$K$346:$N$346</c15:sqref>
                  </c15:fullRef>
                </c:ext>
              </c:extLst>
              <c:f>Text!$N$346</c:f>
              <c:numCache>
                <c:formatCode>0.00</c:formatCode>
                <c:ptCount val="1"/>
                <c:pt idx="0">
                  <c:v>0.15</c:v>
                </c:pt>
              </c:numCache>
            </c:numRef>
          </c:val>
          <c:extLst>
            <c:ext xmlns:c16="http://schemas.microsoft.com/office/drawing/2014/chart" uri="{C3380CC4-5D6E-409C-BE32-E72D297353CC}">
              <c16:uniqueId val="{00000007-C47B-4343-87C8-8244576EA51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solidFill>
            <a:srgbClr val="C00000"/>
          </a:solidFill>
        </a:ln>
        <a:effectLst/>
      </c:spPr>
    </c:plotArea>
    <c:plotVisOnly val="1"/>
    <c:dispBlanksAs val="gap"/>
    <c:showDLblsOverMax val="0"/>
  </c:chart>
  <c:spPr>
    <a:noFill/>
    <a:ln w="9525" cap="flat" cmpd="sng" algn="ctr">
      <a:solidFill>
        <a:srgbClr val="E30613"/>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Text!$K$362:$N$362</c15:sqref>
                  </c15:fullRef>
                </c:ext>
              </c:extLst>
              <c:f>Text!$M$362</c:f>
              <c:numCache>
                <c:formatCode>0.00</c:formatCode>
                <c:ptCount val="1"/>
                <c:pt idx="0">
                  <c:v>0</c:v>
                </c:pt>
              </c:numCache>
            </c:numRef>
          </c:val>
          <c:extLst>
            <c:ext xmlns:c16="http://schemas.microsoft.com/office/drawing/2014/chart" uri="{C3380CC4-5D6E-409C-BE32-E72D297353CC}">
              <c16:uniqueId val="{00000000-CAA9-45CA-814E-006F79469A40}"/>
            </c:ext>
          </c:extLst>
        </c:ser>
        <c:ser>
          <c:idx val="1"/>
          <c:order val="1"/>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Text!$K$363:$N$363</c15:sqref>
                  </c15:fullRef>
                </c:ext>
              </c:extLst>
              <c:f>Text!$M$363</c:f>
              <c:numCache>
                <c:formatCode>0.00</c:formatCode>
                <c:ptCount val="1"/>
                <c:pt idx="0">
                  <c:v>0</c:v>
                </c:pt>
              </c:numCache>
            </c:numRef>
          </c:val>
          <c:extLst>
            <c:ext xmlns:c16="http://schemas.microsoft.com/office/drawing/2014/chart" uri="{C3380CC4-5D6E-409C-BE32-E72D297353CC}">
              <c16:uniqueId val="{00000001-CAA9-45CA-814E-006F79469A40}"/>
            </c:ext>
          </c:extLst>
        </c:ser>
        <c:ser>
          <c:idx val="2"/>
          <c:order val="2"/>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Text!$K$364:$N$364</c15:sqref>
                  </c15:fullRef>
                </c:ext>
              </c:extLst>
              <c:f>Text!$M$364</c:f>
              <c:numCache>
                <c:formatCode>0.00</c:formatCode>
                <c:ptCount val="1"/>
                <c:pt idx="0">
                  <c:v>0</c:v>
                </c:pt>
              </c:numCache>
            </c:numRef>
          </c:val>
          <c:extLst>
            <c:ext xmlns:c16="http://schemas.microsoft.com/office/drawing/2014/chart" uri="{C3380CC4-5D6E-409C-BE32-E72D297353CC}">
              <c16:uniqueId val="{00000002-CAA9-45CA-814E-006F79469A40}"/>
            </c:ext>
          </c:extLst>
        </c:ser>
        <c:ser>
          <c:idx val="3"/>
          <c:order val="3"/>
          <c:spPr>
            <a:solidFill>
              <a:srgbClr val="D1E3B0"/>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Text!$K$365:$N$365</c15:sqref>
                  </c15:fullRef>
                </c:ext>
              </c:extLst>
              <c:f>Text!$M$365</c:f>
              <c:numCache>
                <c:formatCode>0.00</c:formatCode>
                <c:ptCount val="1"/>
                <c:pt idx="0">
                  <c:v>0</c:v>
                </c:pt>
              </c:numCache>
            </c:numRef>
          </c:val>
          <c:extLst>
            <c:ext xmlns:c16="http://schemas.microsoft.com/office/drawing/2014/chart" uri="{C3380CC4-5D6E-409C-BE32-E72D297353CC}">
              <c16:uniqueId val="{00000003-CAA9-45CA-814E-006F79469A40}"/>
            </c:ext>
          </c:extLst>
        </c:ser>
        <c:ser>
          <c:idx val="4"/>
          <c:order val="4"/>
          <c:spPr>
            <a:solidFill>
              <a:schemeClr val="bg1"/>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Text!$K$366:$N$366</c15:sqref>
                  </c15:fullRef>
                </c:ext>
              </c:extLst>
              <c:f>Text!$M$366</c:f>
              <c:numCache>
                <c:formatCode>0.00</c:formatCode>
                <c:ptCount val="1"/>
                <c:pt idx="0">
                  <c:v>0.5</c:v>
                </c:pt>
              </c:numCache>
            </c:numRef>
          </c:val>
          <c:extLst>
            <c:ext xmlns:c16="http://schemas.microsoft.com/office/drawing/2014/chart" uri="{C3380CC4-5D6E-409C-BE32-E72D297353CC}">
              <c16:uniqueId val="{00000004-CAA9-45CA-814E-006F79469A40}"/>
            </c:ext>
          </c:extLst>
        </c:ser>
        <c:ser>
          <c:idx val="5"/>
          <c:order val="5"/>
          <c:spPr>
            <a:solidFill>
              <a:schemeClr val="bg1"/>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Text!$K$367:$N$367</c15:sqref>
                  </c15:fullRef>
                </c:ext>
              </c:extLst>
              <c:f>Text!$M$367</c:f>
              <c:numCache>
                <c:formatCode>0.00</c:formatCode>
                <c:ptCount val="1"/>
                <c:pt idx="0">
                  <c:v>0.15</c:v>
                </c:pt>
              </c:numCache>
            </c:numRef>
          </c:val>
          <c:extLst>
            <c:ext xmlns:c16="http://schemas.microsoft.com/office/drawing/2014/chart" uri="{C3380CC4-5D6E-409C-BE32-E72D297353CC}">
              <c16:uniqueId val="{00000005-CAA9-45CA-814E-006F79469A40}"/>
            </c:ext>
          </c:extLst>
        </c:ser>
        <c:ser>
          <c:idx val="6"/>
          <c:order val="6"/>
          <c:spPr>
            <a:solidFill>
              <a:schemeClr val="bg1"/>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Text!$K$368:$N$368</c15:sqref>
                  </c15:fullRef>
                </c:ext>
              </c:extLst>
              <c:f>Text!$M$368</c:f>
              <c:numCache>
                <c:formatCode>0.00</c:formatCode>
                <c:ptCount val="1"/>
                <c:pt idx="0">
                  <c:v>0.2</c:v>
                </c:pt>
              </c:numCache>
            </c:numRef>
          </c:val>
          <c:extLst>
            <c:ext xmlns:c16="http://schemas.microsoft.com/office/drawing/2014/chart" uri="{C3380CC4-5D6E-409C-BE32-E72D297353CC}">
              <c16:uniqueId val="{00000006-CAA9-45CA-814E-006F79469A40}"/>
            </c:ext>
          </c:extLst>
        </c:ser>
        <c:ser>
          <c:idx val="7"/>
          <c:order val="7"/>
          <c:spPr>
            <a:solidFill>
              <a:schemeClr val="bg1"/>
            </a:solidFill>
            <a:ln>
              <a:solidFill>
                <a:srgbClr val="76B729"/>
              </a:solidFill>
            </a:ln>
            <a:effectLst/>
          </c:spPr>
          <c:invertIfNegative val="0"/>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Text!$K$369:$N$369</c15:sqref>
                  </c15:fullRef>
                </c:ext>
              </c:extLst>
              <c:f>Text!$M$369</c:f>
              <c:numCache>
                <c:formatCode>0.00</c:formatCode>
                <c:ptCount val="1"/>
                <c:pt idx="0">
                  <c:v>0.15</c:v>
                </c:pt>
              </c:numCache>
            </c:numRef>
          </c:val>
          <c:extLst>
            <c:ext xmlns:c16="http://schemas.microsoft.com/office/drawing/2014/chart" uri="{C3380CC4-5D6E-409C-BE32-E72D297353CC}">
              <c16:uniqueId val="{00000007-CAA9-45CA-814E-006F79469A4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Text!$K$362:$N$362</c15:sqref>
                  </c15:fullRef>
                </c:ext>
              </c:extLst>
              <c:f>Text!$N$362</c:f>
              <c:numCache>
                <c:formatCode>0.00</c:formatCode>
                <c:ptCount val="1"/>
                <c:pt idx="0">
                  <c:v>0</c:v>
                </c:pt>
              </c:numCache>
            </c:numRef>
          </c:val>
          <c:extLst>
            <c:ext xmlns:c16="http://schemas.microsoft.com/office/drawing/2014/chart" uri="{C3380CC4-5D6E-409C-BE32-E72D297353CC}">
              <c16:uniqueId val="{00000000-CAA9-45CA-814E-006F79469A40}"/>
            </c:ext>
          </c:extLst>
        </c:ser>
        <c:ser>
          <c:idx val="1"/>
          <c:order val="1"/>
          <c:spPr>
            <a:solidFill>
              <a:srgbClr val="D1E3B0"/>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Text!$K$363:$N$363</c15:sqref>
                  </c15:fullRef>
                </c:ext>
              </c:extLst>
              <c:f>Text!$N$363</c:f>
              <c:numCache>
                <c:formatCode>0.00</c:formatCode>
                <c:ptCount val="1"/>
                <c:pt idx="0">
                  <c:v>0</c:v>
                </c:pt>
              </c:numCache>
            </c:numRef>
          </c:val>
          <c:extLst>
            <c:ext xmlns:c16="http://schemas.microsoft.com/office/drawing/2014/chart" uri="{C3380CC4-5D6E-409C-BE32-E72D297353CC}">
              <c16:uniqueId val="{00000001-CAA9-45CA-814E-006F79469A40}"/>
            </c:ext>
          </c:extLst>
        </c:ser>
        <c:ser>
          <c:idx val="2"/>
          <c:order val="2"/>
          <c:spPr>
            <a:solidFill>
              <a:srgbClr val="D1E3B0"/>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Text!$K$364:$N$364</c15:sqref>
                  </c15:fullRef>
                </c:ext>
              </c:extLst>
              <c:f>Text!$N$364</c:f>
              <c:numCache>
                <c:formatCode>0.00</c:formatCode>
                <c:ptCount val="1"/>
                <c:pt idx="0">
                  <c:v>0</c:v>
                </c:pt>
              </c:numCache>
            </c:numRef>
          </c:val>
          <c:extLst>
            <c:ext xmlns:c16="http://schemas.microsoft.com/office/drawing/2014/chart" uri="{C3380CC4-5D6E-409C-BE32-E72D297353CC}">
              <c16:uniqueId val="{00000002-CAA9-45CA-814E-006F79469A40}"/>
            </c:ext>
          </c:extLst>
        </c:ser>
        <c:ser>
          <c:idx val="3"/>
          <c:order val="3"/>
          <c:spPr>
            <a:solidFill>
              <a:srgbClr val="D1E3B0"/>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Text!$K$365:$N$365</c15:sqref>
                  </c15:fullRef>
                </c:ext>
              </c:extLst>
              <c:f>Text!$N$365</c:f>
              <c:numCache>
                <c:formatCode>0.00</c:formatCode>
                <c:ptCount val="1"/>
                <c:pt idx="0">
                  <c:v>0</c:v>
                </c:pt>
              </c:numCache>
            </c:numRef>
          </c:val>
          <c:extLst>
            <c:ext xmlns:c16="http://schemas.microsoft.com/office/drawing/2014/chart" uri="{C3380CC4-5D6E-409C-BE32-E72D297353CC}">
              <c16:uniqueId val="{00000003-CAA9-45CA-814E-006F79469A40}"/>
            </c:ext>
          </c:extLst>
        </c:ser>
        <c:ser>
          <c:idx val="4"/>
          <c:order val="4"/>
          <c:spPr>
            <a:solidFill>
              <a:schemeClr val="bg1"/>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Text!$K$366:$N$366</c15:sqref>
                  </c15:fullRef>
                </c:ext>
              </c:extLst>
              <c:f>Text!$N$366</c:f>
              <c:numCache>
                <c:formatCode>0.00</c:formatCode>
                <c:ptCount val="1"/>
                <c:pt idx="0">
                  <c:v>0.5</c:v>
                </c:pt>
              </c:numCache>
            </c:numRef>
          </c:val>
          <c:extLst>
            <c:ext xmlns:c16="http://schemas.microsoft.com/office/drawing/2014/chart" uri="{C3380CC4-5D6E-409C-BE32-E72D297353CC}">
              <c16:uniqueId val="{00000004-CAA9-45CA-814E-006F79469A40}"/>
            </c:ext>
          </c:extLst>
        </c:ser>
        <c:ser>
          <c:idx val="5"/>
          <c:order val="5"/>
          <c:spPr>
            <a:solidFill>
              <a:schemeClr val="bg1"/>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Text!$K$367:$N$367</c15:sqref>
                  </c15:fullRef>
                </c:ext>
              </c:extLst>
              <c:f>Text!$N$367</c:f>
              <c:numCache>
                <c:formatCode>0.00</c:formatCode>
                <c:ptCount val="1"/>
                <c:pt idx="0">
                  <c:v>0.15</c:v>
                </c:pt>
              </c:numCache>
            </c:numRef>
          </c:val>
          <c:extLst>
            <c:ext xmlns:c16="http://schemas.microsoft.com/office/drawing/2014/chart" uri="{C3380CC4-5D6E-409C-BE32-E72D297353CC}">
              <c16:uniqueId val="{00000005-CAA9-45CA-814E-006F79469A40}"/>
            </c:ext>
          </c:extLst>
        </c:ser>
        <c:ser>
          <c:idx val="6"/>
          <c:order val="6"/>
          <c:spPr>
            <a:solidFill>
              <a:schemeClr val="bg1"/>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Text!$K$368:$N$368</c15:sqref>
                  </c15:fullRef>
                </c:ext>
              </c:extLst>
              <c:f>Text!$N$368</c:f>
              <c:numCache>
                <c:formatCode>0.00</c:formatCode>
                <c:ptCount val="1"/>
                <c:pt idx="0">
                  <c:v>0.2</c:v>
                </c:pt>
              </c:numCache>
            </c:numRef>
          </c:val>
          <c:extLst>
            <c:ext xmlns:c16="http://schemas.microsoft.com/office/drawing/2014/chart" uri="{C3380CC4-5D6E-409C-BE32-E72D297353CC}">
              <c16:uniqueId val="{00000006-CAA9-45CA-814E-006F79469A40}"/>
            </c:ext>
          </c:extLst>
        </c:ser>
        <c:ser>
          <c:idx val="7"/>
          <c:order val="7"/>
          <c:spPr>
            <a:solidFill>
              <a:schemeClr val="bg1"/>
            </a:solidFill>
            <a:ln>
              <a:solidFill>
                <a:srgbClr val="76B729"/>
              </a:solidFill>
            </a:ln>
            <a:effectLst/>
          </c:spPr>
          <c:invertIfNegative val="0"/>
          <c:cat>
            <c:strLit>
              <c:ptCount val="1"/>
              <c:pt idx="0">
                <c:v>4</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Text!$K$369:$N$369</c15:sqref>
                  </c15:fullRef>
                </c:ext>
              </c:extLst>
              <c:f>Text!$N$369</c:f>
              <c:numCache>
                <c:formatCode>0.00</c:formatCode>
                <c:ptCount val="1"/>
                <c:pt idx="0">
                  <c:v>0.15</c:v>
                </c:pt>
              </c:numCache>
            </c:numRef>
          </c:val>
          <c:extLst>
            <c:ext xmlns:c16="http://schemas.microsoft.com/office/drawing/2014/chart" uri="{C3380CC4-5D6E-409C-BE32-E72D297353CC}">
              <c16:uniqueId val="{00000007-CAA9-45CA-814E-006F79469A4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numFmt formatCode="General" sourceLinked="0"/>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barChart>
        <c:barDir val="bar"/>
        <c:grouping val="stacked"/>
        <c:varyColors val="0"/>
        <c:ser>
          <c:idx val="0"/>
          <c:order val="0"/>
          <c:spPr>
            <a:solidFill>
              <a:srgbClr val="D1E3B0"/>
            </a:solidFill>
            <a:ln>
              <a:solidFill>
                <a:srgbClr val="76B729"/>
              </a:solidFill>
            </a:ln>
            <a:effectLst/>
          </c:spPr>
          <c:invertIfNegative val="0"/>
          <c:val>
            <c:numRef>
              <c:f>Text!$K$362:$N$362</c:f>
              <c:numCache>
                <c:formatCode>0.00</c:formatCode>
                <c:ptCount val="4"/>
                <c:pt idx="0">
                  <c:v>0</c:v>
                </c:pt>
                <c:pt idx="1">
                  <c:v>0</c:v>
                </c:pt>
                <c:pt idx="2">
                  <c:v>0</c:v>
                </c:pt>
                <c:pt idx="3">
                  <c:v>0</c:v>
                </c:pt>
              </c:numCache>
            </c:numRef>
          </c:val>
          <c:extLst>
            <c:ext xmlns:c16="http://schemas.microsoft.com/office/drawing/2014/chart" uri="{C3380CC4-5D6E-409C-BE32-E72D297353CC}">
              <c16:uniqueId val="{00000000-CAA9-45CA-814E-006F79469A40}"/>
            </c:ext>
          </c:extLst>
        </c:ser>
        <c:ser>
          <c:idx val="1"/>
          <c:order val="1"/>
          <c:spPr>
            <a:solidFill>
              <a:srgbClr val="D1E3B0"/>
            </a:solidFill>
            <a:ln>
              <a:solidFill>
                <a:srgbClr val="76B729"/>
              </a:solidFill>
            </a:ln>
            <a:effectLst/>
          </c:spPr>
          <c:invertIfNegative val="0"/>
          <c:val>
            <c:numRef>
              <c:f>Text!$K$363:$N$363</c:f>
              <c:numCache>
                <c:formatCode>0.00</c:formatCode>
                <c:ptCount val="4"/>
                <c:pt idx="0">
                  <c:v>0</c:v>
                </c:pt>
                <c:pt idx="1">
                  <c:v>0</c:v>
                </c:pt>
                <c:pt idx="2">
                  <c:v>0</c:v>
                </c:pt>
                <c:pt idx="3">
                  <c:v>0</c:v>
                </c:pt>
              </c:numCache>
            </c:numRef>
          </c:val>
          <c:extLst>
            <c:ext xmlns:c16="http://schemas.microsoft.com/office/drawing/2014/chart" uri="{C3380CC4-5D6E-409C-BE32-E72D297353CC}">
              <c16:uniqueId val="{00000001-CAA9-45CA-814E-006F79469A40}"/>
            </c:ext>
          </c:extLst>
        </c:ser>
        <c:ser>
          <c:idx val="2"/>
          <c:order val="2"/>
          <c:spPr>
            <a:solidFill>
              <a:srgbClr val="D1E3B0"/>
            </a:solidFill>
            <a:ln>
              <a:solidFill>
                <a:srgbClr val="76B729"/>
              </a:solidFill>
            </a:ln>
            <a:effectLst/>
          </c:spPr>
          <c:invertIfNegative val="0"/>
          <c:val>
            <c:numRef>
              <c:f>Text!$K$364:$N$364</c:f>
              <c:numCache>
                <c:formatCode>0.00</c:formatCode>
                <c:ptCount val="4"/>
                <c:pt idx="0">
                  <c:v>0</c:v>
                </c:pt>
                <c:pt idx="1">
                  <c:v>0</c:v>
                </c:pt>
                <c:pt idx="2">
                  <c:v>0</c:v>
                </c:pt>
                <c:pt idx="3">
                  <c:v>0</c:v>
                </c:pt>
              </c:numCache>
            </c:numRef>
          </c:val>
          <c:extLst>
            <c:ext xmlns:c16="http://schemas.microsoft.com/office/drawing/2014/chart" uri="{C3380CC4-5D6E-409C-BE32-E72D297353CC}">
              <c16:uniqueId val="{00000002-CAA9-45CA-814E-006F79469A40}"/>
            </c:ext>
          </c:extLst>
        </c:ser>
        <c:ser>
          <c:idx val="3"/>
          <c:order val="3"/>
          <c:spPr>
            <a:solidFill>
              <a:srgbClr val="D1E3B0"/>
            </a:solidFill>
            <a:ln>
              <a:solidFill>
                <a:srgbClr val="76B729"/>
              </a:solidFill>
            </a:ln>
            <a:effectLst/>
          </c:spPr>
          <c:invertIfNegative val="0"/>
          <c:val>
            <c:numRef>
              <c:f>Text!$K$365:$N$365</c:f>
              <c:numCache>
                <c:formatCode>0.00</c:formatCode>
                <c:ptCount val="4"/>
                <c:pt idx="0">
                  <c:v>0</c:v>
                </c:pt>
                <c:pt idx="1">
                  <c:v>0</c:v>
                </c:pt>
                <c:pt idx="2">
                  <c:v>0</c:v>
                </c:pt>
                <c:pt idx="3">
                  <c:v>0</c:v>
                </c:pt>
              </c:numCache>
            </c:numRef>
          </c:val>
          <c:extLst>
            <c:ext xmlns:c16="http://schemas.microsoft.com/office/drawing/2014/chart" uri="{C3380CC4-5D6E-409C-BE32-E72D297353CC}">
              <c16:uniqueId val="{00000003-CAA9-45CA-814E-006F79469A40}"/>
            </c:ext>
          </c:extLst>
        </c:ser>
        <c:ser>
          <c:idx val="4"/>
          <c:order val="4"/>
          <c:spPr>
            <a:solidFill>
              <a:schemeClr val="bg1"/>
            </a:solidFill>
            <a:ln>
              <a:solidFill>
                <a:srgbClr val="76B729"/>
              </a:solidFill>
            </a:ln>
            <a:effectLst/>
          </c:spPr>
          <c:invertIfNegative val="0"/>
          <c:val>
            <c:numRef>
              <c:f>Text!$K$366:$N$366</c:f>
              <c:numCache>
                <c:formatCode>0.00</c:formatCode>
                <c:ptCount val="4"/>
                <c:pt idx="0">
                  <c:v>0.5</c:v>
                </c:pt>
                <c:pt idx="1">
                  <c:v>0.5</c:v>
                </c:pt>
                <c:pt idx="2">
                  <c:v>0.5</c:v>
                </c:pt>
                <c:pt idx="3">
                  <c:v>0.5</c:v>
                </c:pt>
              </c:numCache>
            </c:numRef>
          </c:val>
          <c:extLst>
            <c:ext xmlns:c16="http://schemas.microsoft.com/office/drawing/2014/chart" uri="{C3380CC4-5D6E-409C-BE32-E72D297353CC}">
              <c16:uniqueId val="{00000004-CAA9-45CA-814E-006F79469A40}"/>
            </c:ext>
          </c:extLst>
        </c:ser>
        <c:ser>
          <c:idx val="5"/>
          <c:order val="5"/>
          <c:spPr>
            <a:solidFill>
              <a:schemeClr val="bg1"/>
            </a:solidFill>
            <a:ln>
              <a:solidFill>
                <a:srgbClr val="76B729"/>
              </a:solidFill>
            </a:ln>
            <a:effectLst/>
          </c:spPr>
          <c:invertIfNegative val="0"/>
          <c:val>
            <c:numRef>
              <c:f>Text!$K$367:$N$367</c:f>
              <c:numCache>
                <c:formatCode>0.00</c:formatCode>
                <c:ptCount val="4"/>
                <c:pt idx="0">
                  <c:v>0.15</c:v>
                </c:pt>
                <c:pt idx="1">
                  <c:v>0.15</c:v>
                </c:pt>
                <c:pt idx="2">
                  <c:v>0.15</c:v>
                </c:pt>
                <c:pt idx="3">
                  <c:v>0.15</c:v>
                </c:pt>
              </c:numCache>
            </c:numRef>
          </c:val>
          <c:extLst>
            <c:ext xmlns:c16="http://schemas.microsoft.com/office/drawing/2014/chart" uri="{C3380CC4-5D6E-409C-BE32-E72D297353CC}">
              <c16:uniqueId val="{00000005-CAA9-45CA-814E-006F79469A40}"/>
            </c:ext>
          </c:extLst>
        </c:ser>
        <c:ser>
          <c:idx val="6"/>
          <c:order val="6"/>
          <c:spPr>
            <a:solidFill>
              <a:schemeClr val="bg1"/>
            </a:solidFill>
            <a:ln>
              <a:solidFill>
                <a:srgbClr val="76B729"/>
              </a:solidFill>
            </a:ln>
            <a:effectLst/>
          </c:spPr>
          <c:invertIfNegative val="0"/>
          <c:val>
            <c:numRef>
              <c:f>Text!$K$368:$N$368</c:f>
              <c:numCache>
                <c:formatCode>0.00</c:formatCode>
                <c:ptCount val="4"/>
                <c:pt idx="0">
                  <c:v>0.2</c:v>
                </c:pt>
                <c:pt idx="1">
                  <c:v>0.2</c:v>
                </c:pt>
                <c:pt idx="2">
                  <c:v>0.2</c:v>
                </c:pt>
                <c:pt idx="3">
                  <c:v>0.2</c:v>
                </c:pt>
              </c:numCache>
            </c:numRef>
          </c:val>
          <c:extLst>
            <c:ext xmlns:c16="http://schemas.microsoft.com/office/drawing/2014/chart" uri="{C3380CC4-5D6E-409C-BE32-E72D297353CC}">
              <c16:uniqueId val="{00000006-CAA9-45CA-814E-006F79469A40}"/>
            </c:ext>
          </c:extLst>
        </c:ser>
        <c:ser>
          <c:idx val="7"/>
          <c:order val="7"/>
          <c:spPr>
            <a:solidFill>
              <a:schemeClr val="bg1"/>
            </a:solidFill>
            <a:ln>
              <a:solidFill>
                <a:srgbClr val="76B729"/>
              </a:solidFill>
            </a:ln>
            <a:effectLst/>
          </c:spPr>
          <c:invertIfNegative val="0"/>
          <c:val>
            <c:numRef>
              <c:f>Text!$K$369:$N$369</c:f>
              <c:numCache>
                <c:formatCode>0.00</c:formatCode>
                <c:ptCount val="4"/>
                <c:pt idx="0">
                  <c:v>0.15</c:v>
                </c:pt>
                <c:pt idx="1">
                  <c:v>0.15</c:v>
                </c:pt>
                <c:pt idx="2">
                  <c:v>0.15</c:v>
                </c:pt>
                <c:pt idx="3">
                  <c:v>0.15</c:v>
                </c:pt>
              </c:numCache>
            </c:numRef>
          </c:val>
          <c:extLst>
            <c:ext xmlns:c16="http://schemas.microsoft.com/office/drawing/2014/chart" uri="{C3380CC4-5D6E-409C-BE32-E72D297353CC}">
              <c16:uniqueId val="{00000007-CAA9-45CA-814E-006F79469A40}"/>
            </c:ext>
          </c:extLst>
        </c:ser>
        <c:dLbls>
          <c:showLegendKey val="0"/>
          <c:showVal val="0"/>
          <c:showCatName val="0"/>
          <c:showSerName val="0"/>
          <c:showPercent val="0"/>
          <c:showBubbleSize val="0"/>
        </c:dLbls>
        <c:gapWidth val="0"/>
        <c:overlap val="100"/>
        <c:axId val="1168858480"/>
        <c:axId val="1168859728"/>
      </c:barChart>
      <c:catAx>
        <c:axId val="1168858480"/>
        <c:scaling>
          <c:orientation val="minMax"/>
        </c:scaling>
        <c:delete val="1"/>
        <c:axPos val="l"/>
        <c:majorTickMark val="none"/>
        <c:minorTickMark val="none"/>
        <c:tickLblPos val="none"/>
        <c:crossAx val="1168859728"/>
        <c:crosses val="autoZero"/>
        <c:auto val="1"/>
        <c:lblAlgn val="ctr"/>
        <c:lblOffset val="100"/>
        <c:tickLblSkip val="1"/>
        <c:noMultiLvlLbl val="0"/>
      </c:catAx>
      <c:valAx>
        <c:axId val="1168859728"/>
        <c:scaling>
          <c:orientation val="minMax"/>
          <c:max val="1"/>
        </c:scaling>
        <c:delete val="1"/>
        <c:axPos val="b"/>
        <c:numFmt formatCode="0.00" sourceLinked="1"/>
        <c:majorTickMark val="none"/>
        <c:minorTickMark val="none"/>
        <c:tickLblPos val="nextTo"/>
        <c:crossAx val="1168858480"/>
        <c:crosses val="autoZero"/>
        <c:crossBetween val="between"/>
      </c:valAx>
      <c:spPr>
        <a:noFill/>
        <a:ln>
          <a:noFill/>
        </a:ln>
        <a:effectLst/>
      </c:spPr>
    </c:plotArea>
    <c:plotVisOnly val="1"/>
    <c:dispBlanksAs val="gap"/>
    <c:showDLblsOverMax val="0"/>
  </c:chart>
  <c:spPr>
    <a:noFill/>
    <a:ln w="9525" cap="flat" cmpd="sng" algn="ctr">
      <a:solidFill>
        <a:srgbClr val="76B729"/>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https://www.energieschweiz.ch/" TargetMode="External"/><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9" Type="http://schemas.openxmlformats.org/officeDocument/2006/relationships/image" Target="../media/image8.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6" Type="http://schemas.openxmlformats.org/officeDocument/2006/relationships/image" Target="../media/image33.png"/><Relationship Id="rId21" Type="http://schemas.openxmlformats.org/officeDocument/2006/relationships/chart" Target="../charts/chart6.xml"/><Relationship Id="rId42" Type="http://schemas.openxmlformats.org/officeDocument/2006/relationships/chart" Target="../charts/chart22.xml"/><Relationship Id="rId47" Type="http://schemas.openxmlformats.org/officeDocument/2006/relationships/chart" Target="../charts/chart27.xml"/><Relationship Id="rId63" Type="http://schemas.openxmlformats.org/officeDocument/2006/relationships/chart" Target="../charts/chart42.xml"/><Relationship Id="rId68" Type="http://schemas.openxmlformats.org/officeDocument/2006/relationships/chart" Target="../charts/chart47.xml"/><Relationship Id="rId84" Type="http://schemas.openxmlformats.org/officeDocument/2006/relationships/chart" Target="../charts/chart63.xml"/><Relationship Id="rId89" Type="http://schemas.openxmlformats.org/officeDocument/2006/relationships/chart" Target="../charts/chart68.xml"/><Relationship Id="rId16" Type="http://schemas.openxmlformats.org/officeDocument/2006/relationships/image" Target="../media/image26.png"/><Relationship Id="rId11" Type="http://schemas.openxmlformats.org/officeDocument/2006/relationships/image" Target="../media/image21.png"/><Relationship Id="rId32" Type="http://schemas.openxmlformats.org/officeDocument/2006/relationships/chart" Target="../charts/chart12.xml"/><Relationship Id="rId37" Type="http://schemas.openxmlformats.org/officeDocument/2006/relationships/chart" Target="../charts/chart17.xml"/><Relationship Id="rId53" Type="http://schemas.openxmlformats.org/officeDocument/2006/relationships/chart" Target="../charts/chart33.xml"/><Relationship Id="rId58" Type="http://schemas.openxmlformats.org/officeDocument/2006/relationships/chart" Target="../charts/chart38.xml"/><Relationship Id="rId74" Type="http://schemas.openxmlformats.org/officeDocument/2006/relationships/chart" Target="../charts/chart53.xml"/><Relationship Id="rId79" Type="http://schemas.openxmlformats.org/officeDocument/2006/relationships/chart" Target="../charts/chart58.xml"/><Relationship Id="rId5" Type="http://schemas.openxmlformats.org/officeDocument/2006/relationships/image" Target="../media/image15.png"/><Relationship Id="rId90" Type="http://schemas.openxmlformats.org/officeDocument/2006/relationships/chart" Target="../charts/chart69.xml"/><Relationship Id="rId95" Type="http://schemas.openxmlformats.org/officeDocument/2006/relationships/image" Target="../media/image40.png"/><Relationship Id="rId22" Type="http://schemas.openxmlformats.org/officeDocument/2006/relationships/image" Target="../media/image6.png"/><Relationship Id="rId27" Type="http://schemas.openxmlformats.org/officeDocument/2006/relationships/chart" Target="../charts/chart7.xml"/><Relationship Id="rId43" Type="http://schemas.openxmlformats.org/officeDocument/2006/relationships/chart" Target="../charts/chart23.xml"/><Relationship Id="rId48" Type="http://schemas.openxmlformats.org/officeDocument/2006/relationships/chart" Target="../charts/chart28.xml"/><Relationship Id="rId64" Type="http://schemas.openxmlformats.org/officeDocument/2006/relationships/chart" Target="../charts/chart43.xml"/><Relationship Id="rId69" Type="http://schemas.openxmlformats.org/officeDocument/2006/relationships/chart" Target="../charts/chart48.xml"/><Relationship Id="rId8" Type="http://schemas.openxmlformats.org/officeDocument/2006/relationships/image" Target="../media/image18.png"/><Relationship Id="rId51" Type="http://schemas.openxmlformats.org/officeDocument/2006/relationships/chart" Target="../charts/chart31.xml"/><Relationship Id="rId72" Type="http://schemas.openxmlformats.org/officeDocument/2006/relationships/chart" Target="../charts/chart51.xml"/><Relationship Id="rId80" Type="http://schemas.openxmlformats.org/officeDocument/2006/relationships/chart" Target="../charts/chart59.xml"/><Relationship Id="rId85" Type="http://schemas.openxmlformats.org/officeDocument/2006/relationships/chart" Target="../charts/chart64.xml"/><Relationship Id="rId93" Type="http://schemas.openxmlformats.org/officeDocument/2006/relationships/image" Target="../media/image39.png"/><Relationship Id="rId3" Type="http://schemas.openxmlformats.org/officeDocument/2006/relationships/image" Target="../media/image13.png"/><Relationship Id="rId12" Type="http://schemas.openxmlformats.org/officeDocument/2006/relationships/image" Target="../media/image22.png"/><Relationship Id="rId17" Type="http://schemas.openxmlformats.org/officeDocument/2006/relationships/image" Target="../media/image27.png"/><Relationship Id="rId25" Type="http://schemas.openxmlformats.org/officeDocument/2006/relationships/image" Target="../media/image32.png"/><Relationship Id="rId33" Type="http://schemas.openxmlformats.org/officeDocument/2006/relationships/chart" Target="../charts/chart13.xml"/><Relationship Id="rId38" Type="http://schemas.openxmlformats.org/officeDocument/2006/relationships/chart" Target="../charts/chart18.xml"/><Relationship Id="rId46" Type="http://schemas.openxmlformats.org/officeDocument/2006/relationships/chart" Target="../charts/chart26.xml"/><Relationship Id="rId59" Type="http://schemas.openxmlformats.org/officeDocument/2006/relationships/image" Target="../media/image38.png"/><Relationship Id="rId67" Type="http://schemas.openxmlformats.org/officeDocument/2006/relationships/chart" Target="../charts/chart46.xml"/><Relationship Id="rId20" Type="http://schemas.openxmlformats.org/officeDocument/2006/relationships/image" Target="../media/image30.png"/><Relationship Id="rId41" Type="http://schemas.openxmlformats.org/officeDocument/2006/relationships/chart" Target="../charts/chart21.xml"/><Relationship Id="rId54" Type="http://schemas.openxmlformats.org/officeDocument/2006/relationships/chart" Target="../charts/chart34.xml"/><Relationship Id="rId62" Type="http://schemas.openxmlformats.org/officeDocument/2006/relationships/chart" Target="../charts/chart41.xml"/><Relationship Id="rId70" Type="http://schemas.openxmlformats.org/officeDocument/2006/relationships/chart" Target="../charts/chart49.xml"/><Relationship Id="rId75" Type="http://schemas.openxmlformats.org/officeDocument/2006/relationships/chart" Target="../charts/chart54.xml"/><Relationship Id="rId83" Type="http://schemas.openxmlformats.org/officeDocument/2006/relationships/chart" Target="../charts/chart62.xml"/><Relationship Id="rId88" Type="http://schemas.openxmlformats.org/officeDocument/2006/relationships/chart" Target="../charts/chart67.xml"/><Relationship Id="rId91" Type="http://schemas.openxmlformats.org/officeDocument/2006/relationships/hyperlink" Target="https://www.energieschweiz.ch/" TargetMode="External"/><Relationship Id="rId96" Type="http://schemas.openxmlformats.org/officeDocument/2006/relationships/chart" Target="../charts/chart70.xml"/><Relationship Id="rId1" Type="http://schemas.openxmlformats.org/officeDocument/2006/relationships/chart" Target="../charts/chart4.xml"/><Relationship Id="rId6" Type="http://schemas.openxmlformats.org/officeDocument/2006/relationships/image" Target="../media/image16.png"/><Relationship Id="rId15" Type="http://schemas.openxmlformats.org/officeDocument/2006/relationships/image" Target="../media/image25.png"/><Relationship Id="rId23" Type="http://schemas.openxmlformats.org/officeDocument/2006/relationships/image" Target="../media/image31.png"/><Relationship Id="rId28" Type="http://schemas.openxmlformats.org/officeDocument/2006/relationships/chart" Target="../charts/chart8.xml"/><Relationship Id="rId36" Type="http://schemas.openxmlformats.org/officeDocument/2006/relationships/chart" Target="../charts/chart16.xml"/><Relationship Id="rId49" Type="http://schemas.openxmlformats.org/officeDocument/2006/relationships/chart" Target="../charts/chart29.xml"/><Relationship Id="rId57" Type="http://schemas.openxmlformats.org/officeDocument/2006/relationships/chart" Target="../charts/chart37.xml"/><Relationship Id="rId10" Type="http://schemas.openxmlformats.org/officeDocument/2006/relationships/image" Target="../media/image20.png"/><Relationship Id="rId31" Type="http://schemas.openxmlformats.org/officeDocument/2006/relationships/chart" Target="../charts/chart11.xml"/><Relationship Id="rId44" Type="http://schemas.openxmlformats.org/officeDocument/2006/relationships/chart" Target="../charts/chart24.xml"/><Relationship Id="rId52" Type="http://schemas.openxmlformats.org/officeDocument/2006/relationships/chart" Target="../charts/chart32.xml"/><Relationship Id="rId60" Type="http://schemas.openxmlformats.org/officeDocument/2006/relationships/chart" Target="../charts/chart39.xml"/><Relationship Id="rId65" Type="http://schemas.openxmlformats.org/officeDocument/2006/relationships/chart" Target="../charts/chart44.xml"/><Relationship Id="rId73" Type="http://schemas.openxmlformats.org/officeDocument/2006/relationships/chart" Target="../charts/chart52.xml"/><Relationship Id="rId78" Type="http://schemas.openxmlformats.org/officeDocument/2006/relationships/chart" Target="../charts/chart57.xml"/><Relationship Id="rId81" Type="http://schemas.openxmlformats.org/officeDocument/2006/relationships/chart" Target="../charts/chart60.xml"/><Relationship Id="rId86" Type="http://schemas.openxmlformats.org/officeDocument/2006/relationships/chart" Target="../charts/chart65.xml"/><Relationship Id="rId94" Type="http://schemas.openxmlformats.org/officeDocument/2006/relationships/image" Target="../media/image7.png"/><Relationship Id="rId4" Type="http://schemas.openxmlformats.org/officeDocument/2006/relationships/image" Target="../media/image14.png"/><Relationship Id="rId9" Type="http://schemas.openxmlformats.org/officeDocument/2006/relationships/image" Target="../media/image19.png"/><Relationship Id="rId13" Type="http://schemas.openxmlformats.org/officeDocument/2006/relationships/image" Target="../media/image23.png"/><Relationship Id="rId18" Type="http://schemas.openxmlformats.org/officeDocument/2006/relationships/image" Target="../media/image28.png"/><Relationship Id="rId39" Type="http://schemas.openxmlformats.org/officeDocument/2006/relationships/chart" Target="../charts/chart19.xml"/><Relationship Id="rId34" Type="http://schemas.openxmlformats.org/officeDocument/2006/relationships/chart" Target="../charts/chart14.xml"/><Relationship Id="rId50" Type="http://schemas.openxmlformats.org/officeDocument/2006/relationships/chart" Target="../charts/chart30.xml"/><Relationship Id="rId55" Type="http://schemas.openxmlformats.org/officeDocument/2006/relationships/chart" Target="../charts/chart35.xml"/><Relationship Id="rId76" Type="http://schemas.openxmlformats.org/officeDocument/2006/relationships/chart" Target="../charts/chart55.xml"/><Relationship Id="rId7" Type="http://schemas.openxmlformats.org/officeDocument/2006/relationships/image" Target="../media/image17.png"/><Relationship Id="rId71" Type="http://schemas.openxmlformats.org/officeDocument/2006/relationships/chart" Target="../charts/chart50.xml"/><Relationship Id="rId92" Type="http://schemas.openxmlformats.org/officeDocument/2006/relationships/image" Target="../media/image1.png"/><Relationship Id="rId2" Type="http://schemas.openxmlformats.org/officeDocument/2006/relationships/chart" Target="../charts/chart5.xml"/><Relationship Id="rId29" Type="http://schemas.openxmlformats.org/officeDocument/2006/relationships/chart" Target="../charts/chart9.xml"/><Relationship Id="rId24" Type="http://schemas.openxmlformats.org/officeDocument/2006/relationships/image" Target="../media/image5.png"/><Relationship Id="rId40" Type="http://schemas.openxmlformats.org/officeDocument/2006/relationships/chart" Target="../charts/chart20.xml"/><Relationship Id="rId45" Type="http://schemas.openxmlformats.org/officeDocument/2006/relationships/chart" Target="../charts/chart25.xml"/><Relationship Id="rId66" Type="http://schemas.openxmlformats.org/officeDocument/2006/relationships/chart" Target="../charts/chart45.xml"/><Relationship Id="rId87" Type="http://schemas.openxmlformats.org/officeDocument/2006/relationships/chart" Target="../charts/chart66.xml"/><Relationship Id="rId61" Type="http://schemas.openxmlformats.org/officeDocument/2006/relationships/chart" Target="../charts/chart40.xml"/><Relationship Id="rId82" Type="http://schemas.openxmlformats.org/officeDocument/2006/relationships/chart" Target="../charts/chart61.xml"/><Relationship Id="rId19" Type="http://schemas.openxmlformats.org/officeDocument/2006/relationships/image" Target="../media/image29.png"/><Relationship Id="rId14" Type="http://schemas.openxmlformats.org/officeDocument/2006/relationships/image" Target="../media/image24.png"/><Relationship Id="rId30" Type="http://schemas.openxmlformats.org/officeDocument/2006/relationships/chart" Target="../charts/chart10.xml"/><Relationship Id="rId35" Type="http://schemas.openxmlformats.org/officeDocument/2006/relationships/chart" Target="../charts/chart15.xml"/><Relationship Id="rId56" Type="http://schemas.openxmlformats.org/officeDocument/2006/relationships/chart" Target="../charts/chart36.xml"/><Relationship Id="rId77" Type="http://schemas.openxmlformats.org/officeDocument/2006/relationships/chart" Target="../charts/chart56.xml"/></Relationships>
</file>

<file path=xl/drawings/_rels/drawing14.xml.rels><?xml version="1.0" encoding="UTF-8" standalone="yes"?>
<Relationships xmlns="http://schemas.openxmlformats.org/package/2006/relationships"><Relationship Id="rId13" Type="http://schemas.openxmlformats.org/officeDocument/2006/relationships/chart" Target="../charts/chart83.xml"/><Relationship Id="rId18" Type="http://schemas.openxmlformats.org/officeDocument/2006/relationships/chart" Target="../charts/chart88.xml"/><Relationship Id="rId26" Type="http://schemas.openxmlformats.org/officeDocument/2006/relationships/chart" Target="../charts/chart96.xml"/><Relationship Id="rId39" Type="http://schemas.openxmlformats.org/officeDocument/2006/relationships/chart" Target="../charts/chart109.xml"/><Relationship Id="rId21" Type="http://schemas.openxmlformats.org/officeDocument/2006/relationships/chart" Target="../charts/chart91.xml"/><Relationship Id="rId34" Type="http://schemas.openxmlformats.org/officeDocument/2006/relationships/chart" Target="../charts/chart104.xml"/><Relationship Id="rId42" Type="http://schemas.openxmlformats.org/officeDocument/2006/relationships/chart" Target="../charts/chart112.xml"/><Relationship Id="rId47" Type="http://schemas.openxmlformats.org/officeDocument/2006/relationships/chart" Target="../charts/chart117.xml"/><Relationship Id="rId7" Type="http://schemas.openxmlformats.org/officeDocument/2006/relationships/chart" Target="../charts/chart77.xml"/><Relationship Id="rId2" Type="http://schemas.openxmlformats.org/officeDocument/2006/relationships/chart" Target="../charts/chart72.xml"/><Relationship Id="rId16" Type="http://schemas.openxmlformats.org/officeDocument/2006/relationships/chart" Target="../charts/chart86.xml"/><Relationship Id="rId29" Type="http://schemas.openxmlformats.org/officeDocument/2006/relationships/chart" Target="../charts/chart99.xml"/><Relationship Id="rId1" Type="http://schemas.openxmlformats.org/officeDocument/2006/relationships/chart" Target="../charts/chart71.xml"/><Relationship Id="rId6" Type="http://schemas.openxmlformats.org/officeDocument/2006/relationships/chart" Target="../charts/chart76.xml"/><Relationship Id="rId11" Type="http://schemas.openxmlformats.org/officeDocument/2006/relationships/chart" Target="../charts/chart81.xml"/><Relationship Id="rId24" Type="http://schemas.openxmlformats.org/officeDocument/2006/relationships/chart" Target="../charts/chart94.xml"/><Relationship Id="rId32" Type="http://schemas.openxmlformats.org/officeDocument/2006/relationships/chart" Target="../charts/chart102.xml"/><Relationship Id="rId37" Type="http://schemas.openxmlformats.org/officeDocument/2006/relationships/chart" Target="../charts/chart107.xml"/><Relationship Id="rId40" Type="http://schemas.openxmlformats.org/officeDocument/2006/relationships/chart" Target="../charts/chart110.xml"/><Relationship Id="rId45" Type="http://schemas.openxmlformats.org/officeDocument/2006/relationships/chart" Target="../charts/chart115.xml"/><Relationship Id="rId5" Type="http://schemas.openxmlformats.org/officeDocument/2006/relationships/chart" Target="../charts/chart75.xml"/><Relationship Id="rId15" Type="http://schemas.openxmlformats.org/officeDocument/2006/relationships/chart" Target="../charts/chart85.xml"/><Relationship Id="rId23" Type="http://schemas.openxmlformats.org/officeDocument/2006/relationships/chart" Target="../charts/chart93.xml"/><Relationship Id="rId28" Type="http://schemas.openxmlformats.org/officeDocument/2006/relationships/chart" Target="../charts/chart98.xml"/><Relationship Id="rId36" Type="http://schemas.openxmlformats.org/officeDocument/2006/relationships/chart" Target="../charts/chart106.xml"/><Relationship Id="rId10" Type="http://schemas.openxmlformats.org/officeDocument/2006/relationships/chart" Target="../charts/chart80.xml"/><Relationship Id="rId19" Type="http://schemas.openxmlformats.org/officeDocument/2006/relationships/chart" Target="../charts/chart89.xml"/><Relationship Id="rId31" Type="http://schemas.openxmlformats.org/officeDocument/2006/relationships/chart" Target="../charts/chart101.xml"/><Relationship Id="rId44" Type="http://schemas.openxmlformats.org/officeDocument/2006/relationships/chart" Target="../charts/chart114.xml"/><Relationship Id="rId4" Type="http://schemas.openxmlformats.org/officeDocument/2006/relationships/chart" Target="../charts/chart74.xml"/><Relationship Id="rId9" Type="http://schemas.openxmlformats.org/officeDocument/2006/relationships/chart" Target="../charts/chart79.xml"/><Relationship Id="rId14" Type="http://schemas.openxmlformats.org/officeDocument/2006/relationships/chart" Target="../charts/chart84.xml"/><Relationship Id="rId22" Type="http://schemas.openxmlformats.org/officeDocument/2006/relationships/chart" Target="../charts/chart92.xml"/><Relationship Id="rId27" Type="http://schemas.openxmlformats.org/officeDocument/2006/relationships/chart" Target="../charts/chart97.xml"/><Relationship Id="rId30" Type="http://schemas.openxmlformats.org/officeDocument/2006/relationships/chart" Target="../charts/chart100.xml"/><Relationship Id="rId35" Type="http://schemas.openxmlformats.org/officeDocument/2006/relationships/chart" Target="../charts/chart105.xml"/><Relationship Id="rId43" Type="http://schemas.openxmlformats.org/officeDocument/2006/relationships/chart" Target="../charts/chart113.xml"/><Relationship Id="rId8" Type="http://schemas.openxmlformats.org/officeDocument/2006/relationships/chart" Target="../charts/chart78.xml"/><Relationship Id="rId3" Type="http://schemas.openxmlformats.org/officeDocument/2006/relationships/chart" Target="../charts/chart73.xml"/><Relationship Id="rId12" Type="http://schemas.openxmlformats.org/officeDocument/2006/relationships/chart" Target="../charts/chart82.xml"/><Relationship Id="rId17" Type="http://schemas.openxmlformats.org/officeDocument/2006/relationships/chart" Target="../charts/chart87.xml"/><Relationship Id="rId25" Type="http://schemas.openxmlformats.org/officeDocument/2006/relationships/chart" Target="../charts/chart95.xml"/><Relationship Id="rId33" Type="http://schemas.openxmlformats.org/officeDocument/2006/relationships/chart" Target="../charts/chart103.xml"/><Relationship Id="rId38" Type="http://schemas.openxmlformats.org/officeDocument/2006/relationships/chart" Target="../charts/chart108.xml"/><Relationship Id="rId46" Type="http://schemas.openxmlformats.org/officeDocument/2006/relationships/chart" Target="../charts/chart116.xml"/><Relationship Id="rId20" Type="http://schemas.openxmlformats.org/officeDocument/2006/relationships/chart" Target="../charts/chart90.xml"/><Relationship Id="rId41" Type="http://schemas.openxmlformats.org/officeDocument/2006/relationships/chart" Target="../charts/chart111.xml"/></Relationships>
</file>

<file path=xl/drawings/drawing1.xml><?xml version="1.0" encoding="utf-8"?>
<xdr:wsDr xmlns:xdr="http://schemas.openxmlformats.org/drawingml/2006/spreadsheetDrawing" xmlns:a="http://schemas.openxmlformats.org/drawingml/2006/main">
  <xdr:twoCellAnchor editAs="oneCell">
    <xdr:from>
      <xdr:col>20</xdr:col>
      <xdr:colOff>222251</xdr:colOff>
      <xdr:row>25</xdr:row>
      <xdr:rowOff>2</xdr:rowOff>
    </xdr:from>
    <xdr:to>
      <xdr:col>24</xdr:col>
      <xdr:colOff>555188</xdr:colOff>
      <xdr:row>30</xdr:row>
      <xdr:rowOff>10213</xdr:rowOff>
    </xdr:to>
    <xdr:pic>
      <xdr:nvPicPr>
        <xdr:cNvPr id="14" name="LogoESIt" hidden="1">
          <a:hlinkClick xmlns:r="http://schemas.openxmlformats.org/officeDocument/2006/relationships" r:id="rId1"/>
          <a:extLst>
            <a:ext uri="{FF2B5EF4-FFF2-40B4-BE49-F238E27FC236}">
              <a16:creationId xmlns:a16="http://schemas.microsoft.com/office/drawing/2014/main" id="{5E62E94E-A05A-E0A4-FDA1-07FFA3DB8B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04626" y="18280065"/>
          <a:ext cx="2484000" cy="923023"/>
        </a:xfrm>
        <a:prstGeom prst="rect">
          <a:avLst/>
        </a:prstGeom>
      </xdr:spPr>
    </xdr:pic>
    <xdr:clientData/>
  </xdr:twoCellAnchor>
  <xdr:twoCellAnchor editAs="oneCell">
    <xdr:from>
      <xdr:col>17</xdr:col>
      <xdr:colOff>62343</xdr:colOff>
      <xdr:row>0</xdr:row>
      <xdr:rowOff>381987</xdr:rowOff>
    </xdr:from>
    <xdr:to>
      <xdr:col>20</xdr:col>
      <xdr:colOff>321870</xdr:colOff>
      <xdr:row>3</xdr:row>
      <xdr:rowOff>90317</xdr:rowOff>
    </xdr:to>
    <xdr:pic>
      <xdr:nvPicPr>
        <xdr:cNvPr id="28" name="LogoDeAK" hidden="1">
          <a:extLst>
            <a:ext uri="{FF2B5EF4-FFF2-40B4-BE49-F238E27FC236}">
              <a16:creationId xmlns:a16="http://schemas.microsoft.com/office/drawing/2014/main" id="{78E2C544-884F-55ED-9E9E-D87CB4D38D5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97288" y="381987"/>
          <a:ext cx="2005200" cy="784800"/>
        </a:xfrm>
        <a:prstGeom prst="rect">
          <a:avLst/>
        </a:prstGeom>
      </xdr:spPr>
    </xdr:pic>
    <xdr:clientData/>
  </xdr:twoCellAnchor>
  <xdr:twoCellAnchor editAs="oneCell">
    <xdr:from>
      <xdr:col>17</xdr:col>
      <xdr:colOff>65314</xdr:colOff>
      <xdr:row>0</xdr:row>
      <xdr:rowOff>384958</xdr:rowOff>
    </xdr:from>
    <xdr:to>
      <xdr:col>21</xdr:col>
      <xdr:colOff>544223</xdr:colOff>
      <xdr:row>3</xdr:row>
      <xdr:rowOff>129288</xdr:rowOff>
    </xdr:to>
    <xdr:pic>
      <xdr:nvPicPr>
        <xdr:cNvPr id="26" name="LogoFrAK" hidden="1">
          <a:extLst>
            <a:ext uri="{FF2B5EF4-FFF2-40B4-BE49-F238E27FC236}">
              <a16:creationId xmlns:a16="http://schemas.microsoft.com/office/drawing/2014/main" id="{6DDBA5BF-3D8E-4C8D-91C7-DF4D4B7D81F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00259" y="384958"/>
          <a:ext cx="2584800" cy="820800"/>
        </a:xfrm>
        <a:prstGeom prst="rect">
          <a:avLst/>
        </a:prstGeom>
      </xdr:spPr>
    </xdr:pic>
    <xdr:clientData/>
  </xdr:twoCellAnchor>
  <xdr:twoCellAnchor editAs="oneCell">
    <xdr:from>
      <xdr:col>17</xdr:col>
      <xdr:colOff>54428</xdr:colOff>
      <xdr:row>0</xdr:row>
      <xdr:rowOff>374072</xdr:rowOff>
    </xdr:from>
    <xdr:to>
      <xdr:col>20</xdr:col>
      <xdr:colOff>238355</xdr:colOff>
      <xdr:row>3</xdr:row>
      <xdr:rowOff>89329</xdr:rowOff>
    </xdr:to>
    <xdr:pic>
      <xdr:nvPicPr>
        <xdr:cNvPr id="20" name="LogoFrA" hidden="1">
          <a:extLst>
            <a:ext uri="{FF2B5EF4-FFF2-40B4-BE49-F238E27FC236}">
              <a16:creationId xmlns:a16="http://schemas.microsoft.com/office/drawing/2014/main" id="{322E69B4-A8DF-A802-E361-3AED38E08697}"/>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489373" y="374072"/>
          <a:ext cx="1929600" cy="784800"/>
        </a:xfrm>
        <a:prstGeom prst="rect">
          <a:avLst/>
        </a:prstGeom>
      </xdr:spPr>
    </xdr:pic>
    <xdr:clientData/>
  </xdr:twoCellAnchor>
  <xdr:twoCellAnchor editAs="oneCell">
    <xdr:from>
      <xdr:col>17</xdr:col>
      <xdr:colOff>54428</xdr:colOff>
      <xdr:row>0</xdr:row>
      <xdr:rowOff>368135</xdr:rowOff>
    </xdr:from>
    <xdr:to>
      <xdr:col>24</xdr:col>
      <xdr:colOff>306864</xdr:colOff>
      <xdr:row>3</xdr:row>
      <xdr:rowOff>90592</xdr:rowOff>
    </xdr:to>
    <xdr:pic>
      <xdr:nvPicPr>
        <xdr:cNvPr id="12" name="LogoDeAPK" hidden="1">
          <a:extLst>
            <a:ext uri="{FF2B5EF4-FFF2-40B4-BE49-F238E27FC236}">
              <a16:creationId xmlns:a16="http://schemas.microsoft.com/office/drawing/2014/main" id="{9DF798BD-181F-109F-D93A-B3CB286F6A69}"/>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489373" y="368135"/>
          <a:ext cx="4104000" cy="792000"/>
        </a:xfrm>
        <a:prstGeom prst="rect">
          <a:avLst/>
        </a:prstGeom>
      </xdr:spPr>
    </xdr:pic>
    <xdr:clientData/>
  </xdr:twoCellAnchor>
  <xdr:twoCellAnchor editAs="oneCell">
    <xdr:from>
      <xdr:col>17</xdr:col>
      <xdr:colOff>59040</xdr:colOff>
      <xdr:row>0</xdr:row>
      <xdr:rowOff>380997</xdr:rowOff>
    </xdr:from>
    <xdr:to>
      <xdr:col>24</xdr:col>
      <xdr:colOff>1089076</xdr:colOff>
      <xdr:row>3</xdr:row>
      <xdr:rowOff>139727</xdr:rowOff>
    </xdr:to>
    <xdr:pic>
      <xdr:nvPicPr>
        <xdr:cNvPr id="16" name="LogoFrAPK" hidden="1">
          <a:extLst>
            <a:ext uri="{FF2B5EF4-FFF2-40B4-BE49-F238E27FC236}">
              <a16:creationId xmlns:a16="http://schemas.microsoft.com/office/drawing/2014/main" id="{237989C1-B7B4-15B0-9A16-9B7D66A1272F}"/>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9493985" y="380997"/>
          <a:ext cx="4881600" cy="835200"/>
        </a:xfrm>
        <a:prstGeom prst="rect">
          <a:avLst/>
        </a:prstGeom>
      </xdr:spPr>
    </xdr:pic>
    <xdr:clientData/>
  </xdr:twoCellAnchor>
  <xdr:twoCellAnchor editAs="oneCell">
    <xdr:from>
      <xdr:col>20</xdr:col>
      <xdr:colOff>230200</xdr:colOff>
      <xdr:row>25</xdr:row>
      <xdr:rowOff>0</xdr:rowOff>
    </xdr:from>
    <xdr:to>
      <xdr:col>24</xdr:col>
      <xdr:colOff>563137</xdr:colOff>
      <xdr:row>30</xdr:row>
      <xdr:rowOff>1008</xdr:rowOff>
    </xdr:to>
    <xdr:pic>
      <xdr:nvPicPr>
        <xdr:cNvPr id="7" name="LogoESDe">
          <a:hlinkClick xmlns:r="http://schemas.openxmlformats.org/officeDocument/2006/relationships" r:id="rId1"/>
          <a:extLst>
            <a:ext uri="{FF2B5EF4-FFF2-40B4-BE49-F238E27FC236}">
              <a16:creationId xmlns:a16="http://schemas.microsoft.com/office/drawing/2014/main" id="{6052CD7F-6CD0-4DCB-9B11-D1B0AD8C098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12575" y="5691188"/>
          <a:ext cx="2484000" cy="913820"/>
        </a:xfrm>
        <a:prstGeom prst="rect">
          <a:avLst/>
        </a:prstGeom>
      </xdr:spPr>
    </xdr:pic>
    <xdr:clientData/>
  </xdr:twoCellAnchor>
  <xdr:twoCellAnchor editAs="oneCell">
    <xdr:from>
      <xdr:col>20</xdr:col>
      <xdr:colOff>197625</xdr:colOff>
      <xdr:row>25</xdr:row>
      <xdr:rowOff>0</xdr:rowOff>
    </xdr:from>
    <xdr:to>
      <xdr:col>24</xdr:col>
      <xdr:colOff>530562</xdr:colOff>
      <xdr:row>30</xdr:row>
      <xdr:rowOff>70884</xdr:rowOff>
    </xdr:to>
    <xdr:pic>
      <xdr:nvPicPr>
        <xdr:cNvPr id="17" name="LogoESFr" hidden="1">
          <a:hlinkClick xmlns:r="http://schemas.openxmlformats.org/officeDocument/2006/relationships" r:id="rId1"/>
          <a:extLst>
            <a:ext uri="{FF2B5EF4-FFF2-40B4-BE49-F238E27FC236}">
              <a16:creationId xmlns:a16="http://schemas.microsoft.com/office/drawing/2014/main" id="{DD5AE70E-B7B4-AC69-3A5F-B3DE6BA6CE2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580000" y="18239569"/>
          <a:ext cx="2484000" cy="9836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156</xdr:row>
      <xdr:rowOff>265544</xdr:rowOff>
    </xdr:from>
    <xdr:to>
      <xdr:col>6</xdr:col>
      <xdr:colOff>954539</xdr:colOff>
      <xdr:row>178</xdr:row>
      <xdr:rowOff>106926</xdr:rowOff>
    </xdr:to>
    <xdr:graphicFrame macro="">
      <xdr:nvGraphicFramePr>
        <xdr:cNvPr id="3" name="Diagramm 2">
          <a:extLst>
            <a:ext uri="{FF2B5EF4-FFF2-40B4-BE49-F238E27FC236}">
              <a16:creationId xmlns:a16="http://schemas.microsoft.com/office/drawing/2014/main" id="{DE6BBB9A-F412-424A-81E8-B3E09EACDEA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14655</xdr:colOff>
      <xdr:row>188</xdr:row>
      <xdr:rowOff>85115</xdr:rowOff>
    </xdr:from>
    <xdr:to>
      <xdr:col>6</xdr:col>
      <xdr:colOff>615104</xdr:colOff>
      <xdr:row>190</xdr:row>
      <xdr:rowOff>69273</xdr:rowOff>
    </xdr:to>
    <xdr:sp macro="" textlink="Text!AN22">
      <xdr:nvSpPr>
        <xdr:cNvPr id="8" name="Textfeld 67">
          <a:extLst>
            <a:ext uri="{FF2B5EF4-FFF2-40B4-BE49-F238E27FC236}">
              <a16:creationId xmlns:a16="http://schemas.microsoft.com/office/drawing/2014/main" id="{753B8082-5EF8-4EAA-9F3F-B45867CC48C9}"/>
            </a:ext>
          </a:extLst>
        </xdr:cNvPr>
        <xdr:cNvSpPr txBox="1"/>
      </xdr:nvSpPr>
      <xdr:spPr>
        <a:xfrm>
          <a:off x="2745155" y="2815615"/>
          <a:ext cx="1083049" cy="288958"/>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196C2A92-0EA3-418F-8851-DDCEB126DA75}" type="TxLink">
            <a:rPr lang="en-US" sz="900" b="1" i="0" u="none" strike="noStrike">
              <a:solidFill>
                <a:srgbClr val="000000"/>
              </a:solidFill>
              <a:latin typeface="Calibri"/>
              <a:ea typeface="Calibri"/>
              <a:cs typeface="Calibri"/>
            </a:rPr>
            <a:pPr algn="l"/>
            <a:t>Kriterium</a:t>
          </a:fld>
          <a:endParaRPr lang="en-US" sz="900" b="0" i="0" u="none" strike="noStrike">
            <a:ea typeface="Verdana" panose="020B0604030504040204" pitchFamily="34" charset="0"/>
            <a:cs typeface="Calibri"/>
          </a:endParaRPr>
        </a:p>
      </xdr:txBody>
    </xdr:sp>
    <xdr:clientData/>
  </xdr:twoCellAnchor>
  <xdr:twoCellAnchor>
    <xdr:from>
      <xdr:col>2</xdr:col>
      <xdr:colOff>24974</xdr:colOff>
      <xdr:row>189</xdr:row>
      <xdr:rowOff>0</xdr:rowOff>
    </xdr:from>
    <xdr:to>
      <xdr:col>5</xdr:col>
      <xdr:colOff>646519</xdr:colOff>
      <xdr:row>190</xdr:row>
      <xdr:rowOff>0</xdr:rowOff>
    </xdr:to>
    <xdr:sp macro="" textlink="Text!AL22">
      <xdr:nvSpPr>
        <xdr:cNvPr id="9" name="Textfeld 67">
          <a:extLst>
            <a:ext uri="{FF2B5EF4-FFF2-40B4-BE49-F238E27FC236}">
              <a16:creationId xmlns:a16="http://schemas.microsoft.com/office/drawing/2014/main" id="{81057061-D03E-4393-8D91-734BB9CDCFD0}"/>
            </a:ext>
          </a:extLst>
        </xdr:cNvPr>
        <xdr:cNvSpPr txBox="1"/>
      </xdr:nvSpPr>
      <xdr:spPr>
        <a:xfrm>
          <a:off x="24974" y="24828500"/>
          <a:ext cx="1205745" cy="152400"/>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12</xdr:col>
      <xdr:colOff>0</xdr:colOff>
      <xdr:row>186</xdr:row>
      <xdr:rowOff>0</xdr:rowOff>
    </xdr:from>
    <xdr:to>
      <xdr:col>15</xdr:col>
      <xdr:colOff>361306</xdr:colOff>
      <xdr:row>188</xdr:row>
      <xdr:rowOff>136483</xdr:rowOff>
    </xdr:to>
    <xdr:graphicFrame macro="">
      <xdr:nvGraphicFramePr>
        <xdr:cNvPr id="14" name="Diagramm 268">
          <a:extLst>
            <a:ext uri="{FF2B5EF4-FFF2-40B4-BE49-F238E27FC236}">
              <a16:creationId xmlns:a16="http://schemas.microsoft.com/office/drawing/2014/main" id="{7099136B-C8F4-46A5-AD64-A7D8F0452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190</xdr:row>
      <xdr:rowOff>0</xdr:rowOff>
    </xdr:from>
    <xdr:to>
      <xdr:col>15</xdr:col>
      <xdr:colOff>361306</xdr:colOff>
      <xdr:row>196</xdr:row>
      <xdr:rowOff>148600</xdr:rowOff>
    </xdr:to>
    <xdr:graphicFrame macro="">
      <xdr:nvGraphicFramePr>
        <xdr:cNvPr id="17" name="Diagramm 39">
          <a:extLst>
            <a:ext uri="{FF2B5EF4-FFF2-40B4-BE49-F238E27FC236}">
              <a16:creationId xmlns:a16="http://schemas.microsoft.com/office/drawing/2014/main" id="{2E8BCEE2-DA04-488F-BD3D-09CBD5B501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156043</xdr:colOff>
      <xdr:row>185</xdr:row>
      <xdr:rowOff>372986</xdr:rowOff>
    </xdr:from>
    <xdr:to>
      <xdr:col>12</xdr:col>
      <xdr:colOff>958893</xdr:colOff>
      <xdr:row>185</xdr:row>
      <xdr:rowOff>1123423</xdr:rowOff>
    </xdr:to>
    <xdr:sp macro="" textlink="Text!C556">
      <xdr:nvSpPr>
        <xdr:cNvPr id="18" name="Textfeld 67">
          <a:extLst>
            <a:ext uri="{FF2B5EF4-FFF2-40B4-BE49-F238E27FC236}">
              <a16:creationId xmlns:a16="http://schemas.microsoft.com/office/drawing/2014/main" id="{E0E8532E-976B-4A0D-BFE9-38231E967AD9}"/>
            </a:ext>
          </a:extLst>
        </xdr:cNvPr>
        <xdr:cNvSpPr txBox="1"/>
      </xdr:nvSpPr>
      <xdr:spPr>
        <a:xfrm rot="16200000">
          <a:off x="6901704" y="2621235"/>
          <a:ext cx="750437" cy="802850"/>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clientData/>
  </xdr:twoCellAnchor>
  <xdr:twoCellAnchor>
    <xdr:from>
      <xdr:col>15</xdr:col>
      <xdr:colOff>367352</xdr:colOff>
      <xdr:row>185</xdr:row>
      <xdr:rowOff>470283</xdr:rowOff>
    </xdr:from>
    <xdr:to>
      <xdr:col>15</xdr:col>
      <xdr:colOff>367352</xdr:colOff>
      <xdr:row>185</xdr:row>
      <xdr:rowOff>1123424</xdr:rowOff>
    </xdr:to>
    <xdr:cxnSp macro="">
      <xdr:nvCxnSpPr>
        <xdr:cNvPr id="19" name="Connecteur droit 74">
          <a:extLst>
            <a:ext uri="{FF2B5EF4-FFF2-40B4-BE49-F238E27FC236}">
              <a16:creationId xmlns:a16="http://schemas.microsoft.com/office/drawing/2014/main" id="{75E70B06-BA29-4922-9C07-96197FA6DF97}"/>
            </a:ext>
          </a:extLst>
        </xdr:cNvPr>
        <xdr:cNvCxnSpPr/>
      </xdr:nvCxnSpPr>
      <xdr:spPr>
        <a:xfrm flipV="1">
          <a:off x="8853261" y="2744738"/>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940246</xdr:colOff>
      <xdr:row>185</xdr:row>
      <xdr:rowOff>242454</xdr:rowOff>
    </xdr:from>
    <xdr:to>
      <xdr:col>12</xdr:col>
      <xdr:colOff>1176914</xdr:colOff>
      <xdr:row>185</xdr:row>
      <xdr:rowOff>498349</xdr:rowOff>
    </xdr:to>
    <xdr:sp macro="" textlink="">
      <xdr:nvSpPr>
        <xdr:cNvPr id="20" name="ZoneTexte 98">
          <a:extLst>
            <a:ext uri="{FF2B5EF4-FFF2-40B4-BE49-F238E27FC236}">
              <a16:creationId xmlns:a16="http://schemas.microsoft.com/office/drawing/2014/main" id="{CCDE0EA2-214B-4E30-A0D2-2DBB8794C1DF}"/>
            </a:ext>
          </a:extLst>
        </xdr:cNvPr>
        <xdr:cNvSpPr txBox="1"/>
      </xdr:nvSpPr>
      <xdr:spPr>
        <a:xfrm>
          <a:off x="7659701" y="2516909"/>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12</xdr:col>
      <xdr:colOff>1242895</xdr:colOff>
      <xdr:row>185</xdr:row>
      <xdr:rowOff>242454</xdr:rowOff>
    </xdr:from>
    <xdr:to>
      <xdr:col>14</xdr:col>
      <xdr:colOff>82563</xdr:colOff>
      <xdr:row>185</xdr:row>
      <xdr:rowOff>498349</xdr:rowOff>
    </xdr:to>
    <xdr:sp macro="" textlink="">
      <xdr:nvSpPr>
        <xdr:cNvPr id="21" name="ZoneTexte 99">
          <a:extLst>
            <a:ext uri="{FF2B5EF4-FFF2-40B4-BE49-F238E27FC236}">
              <a16:creationId xmlns:a16="http://schemas.microsoft.com/office/drawing/2014/main" id="{DB70FC68-55CE-478D-81D1-B880A0104A77}"/>
            </a:ext>
          </a:extLst>
        </xdr:cNvPr>
        <xdr:cNvSpPr txBox="1"/>
      </xdr:nvSpPr>
      <xdr:spPr>
        <a:xfrm>
          <a:off x="7962350" y="2516909"/>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14</xdr:col>
      <xdr:colOff>290034</xdr:colOff>
      <xdr:row>185</xdr:row>
      <xdr:rowOff>242454</xdr:rowOff>
    </xdr:from>
    <xdr:to>
      <xdr:col>15</xdr:col>
      <xdr:colOff>100098</xdr:colOff>
      <xdr:row>185</xdr:row>
      <xdr:rowOff>498349</xdr:rowOff>
    </xdr:to>
    <xdr:sp macro="" textlink="">
      <xdr:nvSpPr>
        <xdr:cNvPr id="22" name="ZoneTexte 100">
          <a:extLst>
            <a:ext uri="{FF2B5EF4-FFF2-40B4-BE49-F238E27FC236}">
              <a16:creationId xmlns:a16="http://schemas.microsoft.com/office/drawing/2014/main" id="{B902016C-39F4-4BAE-A31D-0DE4AB7F14A0}"/>
            </a:ext>
          </a:extLst>
        </xdr:cNvPr>
        <xdr:cNvSpPr txBox="1"/>
      </xdr:nvSpPr>
      <xdr:spPr>
        <a:xfrm>
          <a:off x="8406489" y="2516909"/>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clientData/>
  </xdr:twoCellAnchor>
  <xdr:twoCellAnchor>
    <xdr:from>
      <xdr:col>15</xdr:col>
      <xdr:colOff>205346</xdr:colOff>
      <xdr:row>185</xdr:row>
      <xdr:rowOff>242454</xdr:rowOff>
    </xdr:from>
    <xdr:to>
      <xdr:col>15</xdr:col>
      <xdr:colOff>656429</xdr:colOff>
      <xdr:row>185</xdr:row>
      <xdr:rowOff>498349</xdr:rowOff>
    </xdr:to>
    <xdr:sp macro="" textlink="">
      <xdr:nvSpPr>
        <xdr:cNvPr id="27" name="ZoneTexte 101">
          <a:extLst>
            <a:ext uri="{FF2B5EF4-FFF2-40B4-BE49-F238E27FC236}">
              <a16:creationId xmlns:a16="http://schemas.microsoft.com/office/drawing/2014/main" id="{1B4D57AD-E81B-446E-9743-3F2590E957E3}"/>
            </a:ext>
          </a:extLst>
        </xdr:cNvPr>
        <xdr:cNvSpPr txBox="1"/>
      </xdr:nvSpPr>
      <xdr:spPr>
        <a:xfrm>
          <a:off x="8691255" y="2516909"/>
          <a:ext cx="451083"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11</xdr:col>
      <xdr:colOff>277091</xdr:colOff>
      <xdr:row>185</xdr:row>
      <xdr:rowOff>242454</xdr:rowOff>
    </xdr:from>
    <xdr:to>
      <xdr:col>12</xdr:col>
      <xdr:colOff>296622</xdr:colOff>
      <xdr:row>185</xdr:row>
      <xdr:rowOff>498349</xdr:rowOff>
    </xdr:to>
    <xdr:sp macro="" textlink="">
      <xdr:nvSpPr>
        <xdr:cNvPr id="28" name="ZoneTexte 57">
          <a:extLst>
            <a:ext uri="{FF2B5EF4-FFF2-40B4-BE49-F238E27FC236}">
              <a16:creationId xmlns:a16="http://schemas.microsoft.com/office/drawing/2014/main" id="{0026E2E6-B5E2-45F3-9FC0-EA32560F70A5}"/>
            </a:ext>
          </a:extLst>
        </xdr:cNvPr>
        <xdr:cNvSpPr txBox="1"/>
      </xdr:nvSpPr>
      <xdr:spPr>
        <a:xfrm>
          <a:off x="6627091" y="2516909"/>
          <a:ext cx="388986"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0</a:t>
          </a:r>
        </a:p>
      </xdr:txBody>
    </xdr:sp>
    <xdr:clientData/>
  </xdr:twoCellAnchor>
  <xdr:twoCellAnchor>
    <xdr:from>
      <xdr:col>15</xdr:col>
      <xdr:colOff>44079</xdr:colOff>
      <xdr:row>185</xdr:row>
      <xdr:rowOff>470283</xdr:rowOff>
    </xdr:from>
    <xdr:to>
      <xdr:col>15</xdr:col>
      <xdr:colOff>44079</xdr:colOff>
      <xdr:row>185</xdr:row>
      <xdr:rowOff>1123424</xdr:rowOff>
    </xdr:to>
    <xdr:cxnSp macro="">
      <xdr:nvCxnSpPr>
        <xdr:cNvPr id="29" name="Connecteur droit 74">
          <a:extLst>
            <a:ext uri="{FF2B5EF4-FFF2-40B4-BE49-F238E27FC236}">
              <a16:creationId xmlns:a16="http://schemas.microsoft.com/office/drawing/2014/main" id="{96E040F5-C319-F0F3-12B2-BECFA384F91E}"/>
            </a:ext>
          </a:extLst>
        </xdr:cNvPr>
        <xdr:cNvCxnSpPr/>
      </xdr:nvCxnSpPr>
      <xdr:spPr>
        <a:xfrm flipV="1">
          <a:off x="8529988" y="2744738"/>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78716</xdr:colOff>
      <xdr:row>185</xdr:row>
      <xdr:rowOff>470283</xdr:rowOff>
    </xdr:from>
    <xdr:to>
      <xdr:col>13</xdr:col>
      <xdr:colOff>78716</xdr:colOff>
      <xdr:row>185</xdr:row>
      <xdr:rowOff>1123424</xdr:rowOff>
    </xdr:to>
    <xdr:cxnSp macro="">
      <xdr:nvCxnSpPr>
        <xdr:cNvPr id="31" name="Connecteur droit 74">
          <a:extLst>
            <a:ext uri="{FF2B5EF4-FFF2-40B4-BE49-F238E27FC236}">
              <a16:creationId xmlns:a16="http://schemas.microsoft.com/office/drawing/2014/main" id="{74EB6AC3-37C5-1B40-E793-A4386BA5AEAC}"/>
            </a:ext>
          </a:extLst>
        </xdr:cNvPr>
        <xdr:cNvCxnSpPr/>
      </xdr:nvCxnSpPr>
      <xdr:spPr>
        <a:xfrm flipV="1">
          <a:off x="8091261" y="2744738"/>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1071625</xdr:colOff>
      <xdr:row>185</xdr:row>
      <xdr:rowOff>470283</xdr:rowOff>
    </xdr:from>
    <xdr:to>
      <xdr:col>12</xdr:col>
      <xdr:colOff>1071625</xdr:colOff>
      <xdr:row>185</xdr:row>
      <xdr:rowOff>1123424</xdr:rowOff>
    </xdr:to>
    <xdr:cxnSp macro="">
      <xdr:nvCxnSpPr>
        <xdr:cNvPr id="32" name="Connecteur droit 74">
          <a:extLst>
            <a:ext uri="{FF2B5EF4-FFF2-40B4-BE49-F238E27FC236}">
              <a16:creationId xmlns:a16="http://schemas.microsoft.com/office/drawing/2014/main" id="{9296A7C3-D19B-29EA-4D17-8E78A9F81FD9}"/>
            </a:ext>
          </a:extLst>
        </xdr:cNvPr>
        <xdr:cNvCxnSpPr/>
      </xdr:nvCxnSpPr>
      <xdr:spPr>
        <a:xfrm flipV="1">
          <a:off x="7791080" y="2744738"/>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20988</xdr:colOff>
      <xdr:row>185</xdr:row>
      <xdr:rowOff>470283</xdr:rowOff>
    </xdr:from>
    <xdr:to>
      <xdr:col>12</xdr:col>
      <xdr:colOff>20988</xdr:colOff>
      <xdr:row>185</xdr:row>
      <xdr:rowOff>1123424</xdr:rowOff>
    </xdr:to>
    <xdr:cxnSp macro="">
      <xdr:nvCxnSpPr>
        <xdr:cNvPr id="33" name="Connecteur droit 74">
          <a:extLst>
            <a:ext uri="{FF2B5EF4-FFF2-40B4-BE49-F238E27FC236}">
              <a16:creationId xmlns:a16="http://schemas.microsoft.com/office/drawing/2014/main" id="{70F69A7F-25D3-A303-BDE9-860C40F3E842}"/>
            </a:ext>
          </a:extLst>
        </xdr:cNvPr>
        <xdr:cNvCxnSpPr/>
      </xdr:nvCxnSpPr>
      <xdr:spPr>
        <a:xfrm flipV="1">
          <a:off x="6740443" y="2744738"/>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91828</xdr:colOff>
      <xdr:row>185</xdr:row>
      <xdr:rowOff>410441</xdr:rowOff>
    </xdr:from>
    <xdr:to>
      <xdr:col>15</xdr:col>
      <xdr:colOff>328334</xdr:colOff>
      <xdr:row>185</xdr:row>
      <xdr:rowOff>1160879</xdr:rowOff>
    </xdr:to>
    <xdr:sp macro="" textlink="Text!C559">
      <xdr:nvSpPr>
        <xdr:cNvPr id="34" name="Textfeld 67">
          <a:extLst>
            <a:ext uri="{FF2B5EF4-FFF2-40B4-BE49-F238E27FC236}">
              <a16:creationId xmlns:a16="http://schemas.microsoft.com/office/drawing/2014/main" id="{DB3A063C-99E8-4A40-9C06-8E9727F2A30D}"/>
            </a:ext>
          </a:extLst>
        </xdr:cNvPr>
        <xdr:cNvSpPr txBox="1"/>
      </xdr:nvSpPr>
      <xdr:spPr>
        <a:xfrm rot="16200000">
          <a:off x="8320771" y="2941862"/>
          <a:ext cx="750438" cy="236506"/>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14</xdr:col>
      <xdr:colOff>43007</xdr:colOff>
      <xdr:row>185</xdr:row>
      <xdr:rowOff>404091</xdr:rowOff>
    </xdr:from>
    <xdr:to>
      <xdr:col>14</xdr:col>
      <xdr:colOff>368918</xdr:colOff>
      <xdr:row>185</xdr:row>
      <xdr:rowOff>1152087</xdr:rowOff>
    </xdr:to>
    <xdr:sp macro="" textlink="Text!C558">
      <xdr:nvSpPr>
        <xdr:cNvPr id="35" name="Textfeld 67">
          <a:extLst>
            <a:ext uri="{FF2B5EF4-FFF2-40B4-BE49-F238E27FC236}">
              <a16:creationId xmlns:a16="http://schemas.microsoft.com/office/drawing/2014/main" id="{466A41ED-BEFD-4E06-9596-BC410D5D3D57}"/>
            </a:ext>
          </a:extLst>
        </xdr:cNvPr>
        <xdr:cNvSpPr txBox="1"/>
      </xdr:nvSpPr>
      <xdr:spPr>
        <a:xfrm rot="16200000">
          <a:off x="7948420" y="2889588"/>
          <a:ext cx="747996"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12</xdr:col>
      <xdr:colOff>1108364</xdr:colOff>
      <xdr:row>185</xdr:row>
      <xdr:rowOff>410439</xdr:rowOff>
    </xdr:from>
    <xdr:to>
      <xdr:col>13</xdr:col>
      <xdr:colOff>53399</xdr:colOff>
      <xdr:row>185</xdr:row>
      <xdr:rowOff>1158437</xdr:rowOff>
    </xdr:to>
    <xdr:sp macro="" textlink="Text!C557">
      <xdr:nvSpPr>
        <xdr:cNvPr id="36" name="Textfeld 67">
          <a:extLst>
            <a:ext uri="{FF2B5EF4-FFF2-40B4-BE49-F238E27FC236}">
              <a16:creationId xmlns:a16="http://schemas.microsoft.com/office/drawing/2014/main" id="{43670032-D50A-46E7-9092-10EBCE45430B}"/>
            </a:ext>
          </a:extLst>
        </xdr:cNvPr>
        <xdr:cNvSpPr txBox="1"/>
      </xdr:nvSpPr>
      <xdr:spPr>
        <a:xfrm rot="16200000">
          <a:off x="7572883" y="2939830"/>
          <a:ext cx="747998"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3</xdr:col>
      <xdr:colOff>1116926</xdr:colOff>
      <xdr:row>343</xdr:row>
      <xdr:rowOff>26173</xdr:rowOff>
    </xdr:from>
    <xdr:to>
      <xdr:col>3</xdr:col>
      <xdr:colOff>1353594</xdr:colOff>
      <xdr:row>344</xdr:row>
      <xdr:rowOff>28068</xdr:rowOff>
    </xdr:to>
    <xdr:sp macro="" textlink="">
      <xdr:nvSpPr>
        <xdr:cNvPr id="10" name="ZoneTexte 100">
          <a:extLst>
            <a:ext uri="{FF2B5EF4-FFF2-40B4-BE49-F238E27FC236}">
              <a16:creationId xmlns:a16="http://schemas.microsoft.com/office/drawing/2014/main" id="{8CC03C49-5F51-4B80-82BC-72D280E26309}"/>
            </a:ext>
          </a:extLst>
        </xdr:cNvPr>
        <xdr:cNvSpPr txBox="1"/>
      </xdr:nvSpPr>
      <xdr:spPr>
        <a:xfrm>
          <a:off x="1701126"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1314524</xdr:colOff>
      <xdr:row>343</xdr:row>
      <xdr:rowOff>26173</xdr:rowOff>
    </xdr:from>
    <xdr:to>
      <xdr:col>17</xdr:col>
      <xdr:colOff>1654028</xdr:colOff>
      <xdr:row>344</xdr:row>
      <xdr:rowOff>28068</xdr:rowOff>
    </xdr:to>
    <xdr:sp macro="" textlink="">
      <xdr:nvSpPr>
        <xdr:cNvPr id="13" name="ZoneTexte 101">
          <a:extLst>
            <a:ext uri="{FF2B5EF4-FFF2-40B4-BE49-F238E27FC236}">
              <a16:creationId xmlns:a16="http://schemas.microsoft.com/office/drawing/2014/main" id="{2EB33813-35AC-4592-87EE-A801425FFA68}"/>
            </a:ext>
          </a:extLst>
        </xdr:cNvPr>
        <xdr:cNvSpPr txBox="1"/>
      </xdr:nvSpPr>
      <xdr:spPr>
        <a:xfrm>
          <a:off x="9506024" y="22244823"/>
          <a:ext cx="295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14</xdr:col>
      <xdr:colOff>487046</xdr:colOff>
      <xdr:row>343</xdr:row>
      <xdr:rowOff>26173</xdr:rowOff>
    </xdr:from>
    <xdr:to>
      <xdr:col>14</xdr:col>
      <xdr:colOff>723714</xdr:colOff>
      <xdr:row>344</xdr:row>
      <xdr:rowOff>28068</xdr:rowOff>
    </xdr:to>
    <xdr:sp macro="" textlink="">
      <xdr:nvSpPr>
        <xdr:cNvPr id="37" name="ZoneTexte 98">
          <a:extLst>
            <a:ext uri="{FF2B5EF4-FFF2-40B4-BE49-F238E27FC236}">
              <a16:creationId xmlns:a16="http://schemas.microsoft.com/office/drawing/2014/main" id="{117E32ED-46C3-4893-909A-91A78F2A22C6}"/>
            </a:ext>
          </a:extLst>
        </xdr:cNvPr>
        <xdr:cNvSpPr txBox="1"/>
      </xdr:nvSpPr>
      <xdr:spPr>
        <a:xfrm>
          <a:off x="6919596"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31</xdr:col>
      <xdr:colOff>428455</xdr:colOff>
      <xdr:row>357</xdr:row>
      <xdr:rowOff>0</xdr:rowOff>
    </xdr:from>
    <xdr:to>
      <xdr:col>34</xdr:col>
      <xdr:colOff>0</xdr:colOff>
      <xdr:row>358</xdr:row>
      <xdr:rowOff>0</xdr:rowOff>
    </xdr:to>
    <xdr:sp macro="" textlink="Text!AL22">
      <xdr:nvSpPr>
        <xdr:cNvPr id="49" name="Textfeld 67">
          <a:extLst>
            <a:ext uri="{FF2B5EF4-FFF2-40B4-BE49-F238E27FC236}">
              <a16:creationId xmlns:a16="http://schemas.microsoft.com/office/drawing/2014/main" id="{3DA653EB-667A-4049-878B-1357CBC55689}"/>
            </a:ext>
          </a:extLst>
        </xdr:cNvPr>
        <xdr:cNvSpPr txBox="1"/>
      </xdr:nvSpPr>
      <xdr:spPr>
        <a:xfrm>
          <a:off x="15058855" y="24034750"/>
          <a:ext cx="581195" cy="152400"/>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17</xdr:col>
      <xdr:colOff>273337</xdr:colOff>
      <xdr:row>343</xdr:row>
      <xdr:rowOff>26173</xdr:rowOff>
    </xdr:from>
    <xdr:to>
      <xdr:col>17</xdr:col>
      <xdr:colOff>510005</xdr:colOff>
      <xdr:row>344</xdr:row>
      <xdr:rowOff>28068</xdr:rowOff>
    </xdr:to>
    <xdr:sp macro="" textlink="">
      <xdr:nvSpPr>
        <xdr:cNvPr id="56" name="ZoneTexte 98">
          <a:extLst>
            <a:ext uri="{FF2B5EF4-FFF2-40B4-BE49-F238E27FC236}">
              <a16:creationId xmlns:a16="http://schemas.microsoft.com/office/drawing/2014/main" id="{E837E1D3-2DA7-425B-94E4-AA4449894D5D}"/>
            </a:ext>
          </a:extLst>
        </xdr:cNvPr>
        <xdr:cNvSpPr txBox="1"/>
      </xdr:nvSpPr>
      <xdr:spPr>
        <a:xfrm>
          <a:off x="8483887"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541747</xdr:colOff>
      <xdr:row>343</xdr:row>
      <xdr:rowOff>26173</xdr:rowOff>
    </xdr:from>
    <xdr:to>
      <xdr:col>17</xdr:col>
      <xdr:colOff>778415</xdr:colOff>
      <xdr:row>344</xdr:row>
      <xdr:rowOff>28068</xdr:rowOff>
    </xdr:to>
    <xdr:sp macro="" textlink="">
      <xdr:nvSpPr>
        <xdr:cNvPr id="57" name="ZoneTexte 99">
          <a:extLst>
            <a:ext uri="{FF2B5EF4-FFF2-40B4-BE49-F238E27FC236}">
              <a16:creationId xmlns:a16="http://schemas.microsoft.com/office/drawing/2014/main" id="{945FECB3-0909-49A9-89CF-E2CE0A97A735}"/>
            </a:ext>
          </a:extLst>
        </xdr:cNvPr>
        <xdr:cNvSpPr txBox="1"/>
      </xdr:nvSpPr>
      <xdr:spPr>
        <a:xfrm>
          <a:off x="8752297"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17</xdr:col>
      <xdr:colOff>825045</xdr:colOff>
      <xdr:row>343</xdr:row>
      <xdr:rowOff>26173</xdr:rowOff>
    </xdr:from>
    <xdr:to>
      <xdr:col>17</xdr:col>
      <xdr:colOff>1004563</xdr:colOff>
      <xdr:row>344</xdr:row>
      <xdr:rowOff>28068</xdr:rowOff>
    </xdr:to>
    <xdr:sp macro="" textlink="">
      <xdr:nvSpPr>
        <xdr:cNvPr id="59" name="ZoneTexte 100">
          <a:extLst>
            <a:ext uri="{FF2B5EF4-FFF2-40B4-BE49-F238E27FC236}">
              <a16:creationId xmlns:a16="http://schemas.microsoft.com/office/drawing/2014/main" id="{24943A0A-DB40-4E71-9FC5-B6A9CC4AA862}"/>
            </a:ext>
          </a:extLst>
        </xdr:cNvPr>
        <xdr:cNvSpPr txBox="1"/>
      </xdr:nvSpPr>
      <xdr:spPr>
        <a:xfrm>
          <a:off x="9035595" y="22244823"/>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clientData/>
  </xdr:twoCellAnchor>
  <xdr:twoCellAnchor>
    <xdr:from>
      <xdr:col>3</xdr:col>
      <xdr:colOff>1116926</xdr:colOff>
      <xdr:row>344</xdr:row>
      <xdr:rowOff>26173</xdr:rowOff>
    </xdr:from>
    <xdr:to>
      <xdr:col>3</xdr:col>
      <xdr:colOff>1353594</xdr:colOff>
      <xdr:row>345</xdr:row>
      <xdr:rowOff>28068</xdr:rowOff>
    </xdr:to>
    <xdr:sp macro="" textlink="">
      <xdr:nvSpPr>
        <xdr:cNvPr id="68" name="ZoneTexte 100">
          <a:extLst>
            <a:ext uri="{FF2B5EF4-FFF2-40B4-BE49-F238E27FC236}">
              <a16:creationId xmlns:a16="http://schemas.microsoft.com/office/drawing/2014/main" id="{E3D9E3FD-FEA5-46F9-AACE-57F5FADCBD36}"/>
            </a:ext>
          </a:extLst>
        </xdr:cNvPr>
        <xdr:cNvSpPr txBox="1"/>
      </xdr:nvSpPr>
      <xdr:spPr>
        <a:xfrm>
          <a:off x="1701126"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1314524</xdr:colOff>
      <xdr:row>344</xdr:row>
      <xdr:rowOff>26173</xdr:rowOff>
    </xdr:from>
    <xdr:to>
      <xdr:col>17</xdr:col>
      <xdr:colOff>1654028</xdr:colOff>
      <xdr:row>345</xdr:row>
      <xdr:rowOff>28068</xdr:rowOff>
    </xdr:to>
    <xdr:sp macro="" textlink="">
      <xdr:nvSpPr>
        <xdr:cNvPr id="71" name="ZoneTexte 101">
          <a:extLst>
            <a:ext uri="{FF2B5EF4-FFF2-40B4-BE49-F238E27FC236}">
              <a16:creationId xmlns:a16="http://schemas.microsoft.com/office/drawing/2014/main" id="{F90270BA-0361-49E1-8F96-3ADE8AE926F0}"/>
            </a:ext>
          </a:extLst>
        </xdr:cNvPr>
        <xdr:cNvSpPr txBox="1"/>
      </xdr:nvSpPr>
      <xdr:spPr>
        <a:xfrm>
          <a:off x="9506024" y="22244823"/>
          <a:ext cx="295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14</xdr:col>
      <xdr:colOff>487046</xdr:colOff>
      <xdr:row>344</xdr:row>
      <xdr:rowOff>26173</xdr:rowOff>
    </xdr:from>
    <xdr:to>
      <xdr:col>14</xdr:col>
      <xdr:colOff>723714</xdr:colOff>
      <xdr:row>345</xdr:row>
      <xdr:rowOff>28068</xdr:rowOff>
    </xdr:to>
    <xdr:sp macro="" textlink="">
      <xdr:nvSpPr>
        <xdr:cNvPr id="77" name="ZoneTexte 98">
          <a:extLst>
            <a:ext uri="{FF2B5EF4-FFF2-40B4-BE49-F238E27FC236}">
              <a16:creationId xmlns:a16="http://schemas.microsoft.com/office/drawing/2014/main" id="{99397190-6ED9-49CD-A61F-3759BA396832}"/>
            </a:ext>
          </a:extLst>
        </xdr:cNvPr>
        <xdr:cNvSpPr txBox="1"/>
      </xdr:nvSpPr>
      <xdr:spPr>
        <a:xfrm>
          <a:off x="6919596"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14</xdr:col>
      <xdr:colOff>266070</xdr:colOff>
      <xdr:row>344</xdr:row>
      <xdr:rowOff>26173</xdr:rowOff>
    </xdr:from>
    <xdr:to>
      <xdr:col>14</xdr:col>
      <xdr:colOff>502738</xdr:colOff>
      <xdr:row>345</xdr:row>
      <xdr:rowOff>28068</xdr:rowOff>
    </xdr:to>
    <xdr:sp macro="" textlink="">
      <xdr:nvSpPr>
        <xdr:cNvPr id="79" name="ZoneTexte 99">
          <a:extLst>
            <a:ext uri="{FF2B5EF4-FFF2-40B4-BE49-F238E27FC236}">
              <a16:creationId xmlns:a16="http://schemas.microsoft.com/office/drawing/2014/main" id="{820D868D-E977-4F60-87A8-E6AAC3D8E355}"/>
            </a:ext>
          </a:extLst>
        </xdr:cNvPr>
        <xdr:cNvSpPr txBox="1"/>
      </xdr:nvSpPr>
      <xdr:spPr>
        <a:xfrm>
          <a:off x="6698620"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31</xdr:col>
      <xdr:colOff>428455</xdr:colOff>
      <xdr:row>358</xdr:row>
      <xdr:rowOff>0</xdr:rowOff>
    </xdr:from>
    <xdr:to>
      <xdr:col>34</xdr:col>
      <xdr:colOff>0</xdr:colOff>
      <xdr:row>359</xdr:row>
      <xdr:rowOff>0</xdr:rowOff>
    </xdr:to>
    <xdr:sp macro="" textlink="Text!AL22">
      <xdr:nvSpPr>
        <xdr:cNvPr id="87" name="Textfeld 67">
          <a:extLst>
            <a:ext uri="{FF2B5EF4-FFF2-40B4-BE49-F238E27FC236}">
              <a16:creationId xmlns:a16="http://schemas.microsoft.com/office/drawing/2014/main" id="{492316FE-E19E-4110-BAE1-F9A08E4D7F58}"/>
            </a:ext>
          </a:extLst>
        </xdr:cNvPr>
        <xdr:cNvSpPr txBox="1"/>
      </xdr:nvSpPr>
      <xdr:spPr>
        <a:xfrm>
          <a:off x="15058855" y="24034750"/>
          <a:ext cx="581195" cy="152400"/>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17</xdr:col>
      <xdr:colOff>541747</xdr:colOff>
      <xdr:row>344</xdr:row>
      <xdr:rowOff>26173</xdr:rowOff>
    </xdr:from>
    <xdr:to>
      <xdr:col>17</xdr:col>
      <xdr:colOff>778415</xdr:colOff>
      <xdr:row>345</xdr:row>
      <xdr:rowOff>28068</xdr:rowOff>
    </xdr:to>
    <xdr:sp macro="" textlink="">
      <xdr:nvSpPr>
        <xdr:cNvPr id="95" name="ZoneTexte 99">
          <a:extLst>
            <a:ext uri="{FF2B5EF4-FFF2-40B4-BE49-F238E27FC236}">
              <a16:creationId xmlns:a16="http://schemas.microsoft.com/office/drawing/2014/main" id="{F4282F96-2060-4AE7-BCEF-5078B2E593B7}"/>
            </a:ext>
          </a:extLst>
        </xdr:cNvPr>
        <xdr:cNvSpPr txBox="1"/>
      </xdr:nvSpPr>
      <xdr:spPr>
        <a:xfrm>
          <a:off x="8752297" y="222448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17</xdr:col>
      <xdr:colOff>825045</xdr:colOff>
      <xdr:row>344</xdr:row>
      <xdr:rowOff>26173</xdr:rowOff>
    </xdr:from>
    <xdr:to>
      <xdr:col>17</xdr:col>
      <xdr:colOff>1004563</xdr:colOff>
      <xdr:row>345</xdr:row>
      <xdr:rowOff>28068</xdr:rowOff>
    </xdr:to>
    <xdr:sp macro="" textlink="">
      <xdr:nvSpPr>
        <xdr:cNvPr id="97" name="ZoneTexte 100">
          <a:extLst>
            <a:ext uri="{FF2B5EF4-FFF2-40B4-BE49-F238E27FC236}">
              <a16:creationId xmlns:a16="http://schemas.microsoft.com/office/drawing/2014/main" id="{E26E5372-E22F-4B65-ADDE-D6A3023301F9}"/>
            </a:ext>
          </a:extLst>
        </xdr:cNvPr>
        <xdr:cNvSpPr txBox="1"/>
      </xdr:nvSpPr>
      <xdr:spPr>
        <a:xfrm>
          <a:off x="9035595" y="22244823"/>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clientData/>
  </xdr:twoCellAnchor>
  <xdr:twoCellAnchor editAs="oneCell">
    <xdr:from>
      <xdr:col>0</xdr:col>
      <xdr:colOff>108856</xdr:colOff>
      <xdr:row>344</xdr:row>
      <xdr:rowOff>0</xdr:rowOff>
    </xdr:from>
    <xdr:to>
      <xdr:col>24</xdr:col>
      <xdr:colOff>808991</xdr:colOff>
      <xdr:row>448</xdr:row>
      <xdr:rowOff>172266</xdr:rowOff>
    </xdr:to>
    <xdr:pic>
      <xdr:nvPicPr>
        <xdr:cNvPr id="104" name="Klima_DE" hidden="1">
          <a:extLst>
            <a:ext uri="{FF2B5EF4-FFF2-40B4-BE49-F238E27FC236}">
              <a16:creationId xmlns:a16="http://schemas.microsoft.com/office/drawing/2014/main" id="{D200C1AE-0C54-3A31-B398-D9CEA3A2511E}"/>
            </a:ext>
          </a:extLst>
        </xdr:cNvPr>
        <xdr:cNvPicPr>
          <a:picLocks noChangeAspect="1"/>
        </xdr:cNvPicPr>
      </xdr:nvPicPr>
      <xdr:blipFill>
        <a:blip xmlns:r="http://schemas.openxmlformats.org/officeDocument/2006/relationships" r:embed="rId4"/>
        <a:stretch>
          <a:fillRect/>
        </a:stretch>
      </xdr:blipFill>
      <xdr:spPr>
        <a:xfrm>
          <a:off x="108856" y="2685143"/>
          <a:ext cx="17604000" cy="3335155"/>
        </a:xfrm>
        <a:prstGeom prst="rect">
          <a:avLst/>
        </a:prstGeom>
      </xdr:spPr>
    </xdr:pic>
    <xdr:clientData/>
  </xdr:twoCellAnchor>
  <xdr:twoCellAnchor editAs="oneCell">
    <xdr:from>
      <xdr:col>0</xdr:col>
      <xdr:colOff>81642</xdr:colOff>
      <xdr:row>344</xdr:row>
      <xdr:rowOff>63498</xdr:rowOff>
    </xdr:from>
    <xdr:to>
      <xdr:col>24</xdr:col>
      <xdr:colOff>817777</xdr:colOff>
      <xdr:row>448</xdr:row>
      <xdr:rowOff>166004</xdr:rowOff>
    </xdr:to>
    <xdr:pic>
      <xdr:nvPicPr>
        <xdr:cNvPr id="106" name="Klima_IT" hidden="1">
          <a:extLst>
            <a:ext uri="{FF2B5EF4-FFF2-40B4-BE49-F238E27FC236}">
              <a16:creationId xmlns:a16="http://schemas.microsoft.com/office/drawing/2014/main" id="{CE4E87AF-2A83-A8FD-7EE9-FF9D9375AE56}"/>
            </a:ext>
          </a:extLst>
        </xdr:cNvPr>
        <xdr:cNvPicPr>
          <a:picLocks noChangeAspect="1"/>
        </xdr:cNvPicPr>
      </xdr:nvPicPr>
      <xdr:blipFill>
        <a:blip xmlns:r="http://schemas.openxmlformats.org/officeDocument/2006/relationships" r:embed="rId5"/>
        <a:stretch>
          <a:fillRect/>
        </a:stretch>
      </xdr:blipFill>
      <xdr:spPr>
        <a:xfrm>
          <a:off x="81642" y="2748641"/>
          <a:ext cx="17640000" cy="3327078"/>
        </a:xfrm>
        <a:prstGeom prst="rect">
          <a:avLst/>
        </a:prstGeom>
      </xdr:spPr>
    </xdr:pic>
    <xdr:clientData/>
  </xdr:twoCellAnchor>
  <xdr:twoCellAnchor editAs="oneCell">
    <xdr:from>
      <xdr:col>3</xdr:col>
      <xdr:colOff>142420</xdr:colOff>
      <xdr:row>344</xdr:row>
      <xdr:rowOff>0</xdr:rowOff>
    </xdr:from>
    <xdr:to>
      <xdr:col>24</xdr:col>
      <xdr:colOff>1517956</xdr:colOff>
      <xdr:row>450</xdr:row>
      <xdr:rowOff>30501</xdr:rowOff>
    </xdr:to>
    <xdr:pic>
      <xdr:nvPicPr>
        <xdr:cNvPr id="2" name="Klima_FR" hidden="1">
          <a:extLst>
            <a:ext uri="{FF2B5EF4-FFF2-40B4-BE49-F238E27FC236}">
              <a16:creationId xmlns:a16="http://schemas.microsoft.com/office/drawing/2014/main" id="{BD3008F5-376F-1602-3B94-252547312CC6}"/>
            </a:ext>
          </a:extLst>
        </xdr:cNvPr>
        <xdr:cNvPicPr>
          <a:picLocks noChangeAspect="1"/>
        </xdr:cNvPicPr>
      </xdr:nvPicPr>
      <xdr:blipFill>
        <a:blip xmlns:r="http://schemas.openxmlformats.org/officeDocument/2006/relationships" r:embed="rId6"/>
        <a:stretch>
          <a:fillRect/>
        </a:stretch>
      </xdr:blipFill>
      <xdr:spPr>
        <a:xfrm>
          <a:off x="781956" y="2626179"/>
          <a:ext cx="17037357" cy="3173751"/>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0.40085</cdr:x>
      <cdr:y>0.20454</cdr:y>
    </cdr:from>
    <cdr:to>
      <cdr:x>0.5033</cdr:x>
      <cdr:y>0.43747</cdr:y>
    </cdr:to>
    <cdr:sp macro="" textlink="">
      <cdr:nvSpPr>
        <cdr:cNvPr id="15" name="Textfeld 14">
          <a:extLst xmlns:a="http://schemas.openxmlformats.org/drawingml/2006/main">
            <a:ext uri="{FF2B5EF4-FFF2-40B4-BE49-F238E27FC236}">
              <a16:creationId xmlns:a16="http://schemas.microsoft.com/office/drawing/2014/main" id="{7FF5DB5F-E3F7-543E-B6E6-C723BEFDA98A}"/>
            </a:ext>
          </a:extLst>
        </cdr:cNvPr>
        <cdr:cNvSpPr txBox="1"/>
      </cdr:nvSpPr>
      <cdr:spPr>
        <a:xfrm xmlns:a="http://schemas.openxmlformats.org/drawingml/2006/main">
          <a:off x="2186277" y="1020411"/>
          <a:ext cx="558800" cy="11620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800" b="1" i="1"/>
            <a:t>100%</a:t>
          </a:r>
        </a:p>
      </cdr:txBody>
    </cdr:sp>
  </cdr:relSizeAnchor>
  <cdr:relSizeAnchor xmlns:cdr="http://schemas.openxmlformats.org/drawingml/2006/chartDrawing">
    <cdr:from>
      <cdr:x>0.3525</cdr:x>
      <cdr:y>0.06532</cdr:y>
    </cdr:from>
    <cdr:to>
      <cdr:x>0.66409</cdr:x>
      <cdr:y>0.16581</cdr:y>
    </cdr:to>
    <cdr:sp macro="" textlink="Text!$BA$38">
      <cdr:nvSpPr>
        <cdr:cNvPr id="2" name="Textfeld 1"/>
        <cdr:cNvSpPr txBox="1">
          <a:spLocks xmlns:a="http://schemas.openxmlformats.org/drawingml/2006/main"/>
        </cdr:cNvSpPr>
      </cdr:nvSpPr>
      <cdr:spPr>
        <a:xfrm xmlns:a="http://schemas.openxmlformats.org/drawingml/2006/main">
          <a:off x="1922326" y="328431"/>
          <a:ext cx="1699221" cy="50530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DAFDE67F-F819-4B1D-95B6-E544EFAB0BE2}" type="TxLink">
            <a:rPr lang="en-US" sz="600" b="1" i="0" u="none" strike="noStrike">
              <a:solidFill>
                <a:srgbClr val="E30613"/>
              </a:solidFill>
              <a:latin typeface="Calibri"/>
              <a:ea typeface="Verdana" panose="020B0604030504040204" pitchFamily="34" charset="0"/>
              <a:cs typeface="Calibri"/>
            </a:rPr>
            <a:pPr algn="ctr"/>
            <a:t>QUALITÄT DER ENTWICKLUNG</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0.4908</cdr:x>
      <cdr:y>0.11122</cdr:y>
    </cdr:from>
    <cdr:to>
      <cdr:x>0.80133</cdr:x>
      <cdr:y>0.21326</cdr:y>
    </cdr:to>
    <cdr:sp macro="" textlink="Text!$BA$39">
      <cdr:nvSpPr>
        <cdr:cNvPr id="3" name="Textfeld 2"/>
        <cdr:cNvSpPr txBox="1">
          <a:spLocks xmlns:a="http://schemas.openxmlformats.org/drawingml/2006/main"/>
        </cdr:cNvSpPr>
      </cdr:nvSpPr>
      <cdr:spPr>
        <a:xfrm xmlns:a="http://schemas.openxmlformats.org/drawingml/2006/main">
          <a:off x="2676525" y="559246"/>
          <a:ext cx="1693441" cy="513096"/>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CF8FD3-1B5F-4795-A852-60E7D21A6150}" type="TxLink">
            <a:rPr lang="en-US" sz="600" b="1" i="0" u="none" strike="noStrike">
              <a:solidFill>
                <a:srgbClr val="E30613"/>
              </a:solidFill>
              <a:latin typeface="Calibri"/>
              <a:ea typeface="Verdana" panose="020B0604030504040204" pitchFamily="34" charset="0"/>
              <a:cs typeface="Calibri"/>
            </a:rPr>
            <a:pPr algn="ctr"/>
            <a:t>ANGEBOT &amp; ERREICHBARKEIT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0.66599</cdr:x>
      <cdr:y>0.26844</cdr:y>
    </cdr:from>
    <cdr:to>
      <cdr:x>0.91231</cdr:x>
      <cdr:y>0.36641</cdr:y>
    </cdr:to>
    <cdr:sp macro="" textlink="Text!$BA$40">
      <cdr:nvSpPr>
        <cdr:cNvPr id="4" name="Textfeld 3"/>
        <cdr:cNvSpPr txBox="1">
          <a:spLocks xmlns:a="http://schemas.openxmlformats.org/drawingml/2006/main"/>
        </cdr:cNvSpPr>
      </cdr:nvSpPr>
      <cdr:spPr>
        <a:xfrm xmlns:a="http://schemas.openxmlformats.org/drawingml/2006/main">
          <a:off x="2796366" y="1011169"/>
          <a:ext cx="1034251" cy="369037"/>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A42C113-E41D-4C54-ABF2-B107075DFF41}" type="TxLink">
            <a:rPr lang="en-US" sz="600" b="1" i="0" u="none" strike="noStrike" baseline="0">
              <a:solidFill>
                <a:srgbClr val="E30613"/>
              </a:solidFill>
              <a:latin typeface="Calibri"/>
              <a:ea typeface="Verdana" panose="020B0604030504040204" pitchFamily="34" charset="0"/>
              <a:cs typeface="Calibri"/>
            </a:rPr>
            <a:pPr algn="ctr"/>
            <a:t>GEBRAUCHSQUALITÄT</a:t>
          </a:fld>
          <a:endParaRPr lang="de-CH" sz="600" b="1" baseline="0">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0.74804</cdr:x>
      <cdr:y>0.43965</cdr:y>
    </cdr:from>
    <cdr:to>
      <cdr:x>1</cdr:x>
      <cdr:y>0.64143</cdr:y>
    </cdr:to>
    <cdr:sp macro="" textlink="Text!$BA$41">
      <cdr:nvSpPr>
        <cdr:cNvPr id="5" name="Textfeld 4"/>
        <cdr:cNvSpPr txBox="1">
          <a:spLocks xmlns:a="http://schemas.openxmlformats.org/drawingml/2006/main"/>
        </cdr:cNvSpPr>
      </cdr:nvSpPr>
      <cdr:spPr>
        <a:xfrm xmlns:a="http://schemas.openxmlformats.org/drawingml/2006/main">
          <a:off x="3140879" y="1656107"/>
          <a:ext cx="1057932" cy="760073"/>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25541890-0B57-48C1-A19C-98463FD8FE66}" type="TxLink">
            <a:rPr lang="en-US" sz="600" b="1" i="0" u="none" strike="noStrike">
              <a:solidFill>
                <a:srgbClr val="E30613"/>
              </a:solidFill>
              <a:latin typeface="Calibri"/>
              <a:ea typeface="Verdana" panose="020B0604030504040204" pitchFamily="34" charset="0"/>
              <a:cs typeface="Calibri"/>
            </a:rPr>
            <a:pPr algn="ctr"/>
            <a:t>WOHLBEFINDEN &amp; GESUNDHEIT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0.63829</cdr:x>
      <cdr:y>0.82061</cdr:y>
    </cdr:from>
    <cdr:to>
      <cdr:x>0.83794</cdr:x>
      <cdr:y>0.91616</cdr:y>
    </cdr:to>
    <cdr:sp macro="" textlink="Text!$BA$42">
      <cdr:nvSpPr>
        <cdr:cNvPr id="6" name="Textfeld 5"/>
        <cdr:cNvSpPr txBox="1">
          <a:spLocks xmlns:a="http://schemas.openxmlformats.org/drawingml/2006/main"/>
        </cdr:cNvSpPr>
      </cdr:nvSpPr>
      <cdr:spPr>
        <a:xfrm xmlns:a="http://schemas.openxmlformats.org/drawingml/2006/main">
          <a:off x="3480820" y="4126353"/>
          <a:ext cx="1088768" cy="48046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07AD34A0-6AF1-4118-85EF-63ACEB3E5EB5}" type="TxLink">
            <a:rPr lang="en-US" sz="600" b="1" i="0" u="none" strike="noStrike">
              <a:solidFill>
                <a:srgbClr val="5DC4E1"/>
              </a:solidFill>
              <a:latin typeface="Calibri"/>
              <a:ea typeface="Verdana" panose="020B0604030504040204" pitchFamily="34" charset="0"/>
              <a:cs typeface="Calibri"/>
            </a:rPr>
            <a:pPr algn="ctr"/>
            <a:t>LEBENSZYKLUS</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0.43259</cdr:x>
      <cdr:y>0.91464</cdr:y>
    </cdr:from>
    <cdr:to>
      <cdr:x>0.74362</cdr:x>
      <cdr:y>0.96163</cdr:y>
    </cdr:to>
    <cdr:sp macro="" textlink="Text!$BA$43">
      <cdr:nvSpPr>
        <cdr:cNvPr id="7" name="Textfeld 6"/>
        <cdr:cNvSpPr txBox="1">
          <a:spLocks xmlns:a="http://schemas.openxmlformats.org/drawingml/2006/main"/>
        </cdr:cNvSpPr>
      </cdr:nvSpPr>
      <cdr:spPr>
        <a:xfrm xmlns:a="http://schemas.openxmlformats.org/drawingml/2006/main">
          <a:off x="2359056" y="4599177"/>
          <a:ext cx="1696168" cy="23628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D71CF61-7993-4C7D-A943-7E12511BFA5D}" type="TxLink">
            <a:rPr lang="en-US" sz="600" b="1" i="0" u="none" strike="noStrike">
              <a:solidFill>
                <a:srgbClr val="5DC4E1"/>
              </a:solidFill>
              <a:latin typeface="Calibri"/>
              <a:ea typeface="Verdana" panose="020B0604030504040204" pitchFamily="34" charset="0"/>
              <a:cs typeface="Calibri"/>
            </a:rPr>
            <a:pPr algn="ctr"/>
            <a:t>NUTZBARKEIT</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0.28047</cdr:x>
      <cdr:y>0.91627</cdr:y>
    </cdr:from>
    <cdr:to>
      <cdr:x>0.55855</cdr:x>
      <cdr:y>0.99901</cdr:y>
    </cdr:to>
    <cdr:sp macro="" textlink="Text!$BA$44">
      <cdr:nvSpPr>
        <cdr:cNvPr id="8" name="Textfeld 7"/>
        <cdr:cNvSpPr txBox="1">
          <a:spLocks xmlns:a="http://schemas.openxmlformats.org/drawingml/2006/main"/>
        </cdr:cNvSpPr>
      </cdr:nvSpPr>
      <cdr:spPr>
        <a:xfrm xmlns:a="http://schemas.openxmlformats.org/drawingml/2006/main">
          <a:off x="1177636" y="3451439"/>
          <a:ext cx="1167594" cy="31166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AD7BA7F6-057F-474D-8EBF-1024155A4AF8}" type="TxLink">
            <a:rPr lang="en-US" sz="600" b="1" i="0" u="none" strike="noStrike">
              <a:solidFill>
                <a:srgbClr val="5DC4E1"/>
              </a:solidFill>
              <a:latin typeface="Calibri"/>
              <a:ea typeface="Verdana" panose="020B0604030504040204" pitchFamily="34" charset="0"/>
              <a:cs typeface="Calibri"/>
            </a:rPr>
            <a:pPr algn="ctr"/>
            <a:t>REGIONALÖKONOMIE</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0.10811</cdr:x>
      <cdr:y>0.44344</cdr:y>
    </cdr:from>
    <cdr:to>
      <cdr:x>0.25842</cdr:x>
      <cdr:y>0.56865</cdr:y>
    </cdr:to>
    <cdr:sp macro="" textlink="Text!$BA$47">
      <cdr:nvSpPr>
        <cdr:cNvPr id="11" name="Textfeld 10"/>
        <cdr:cNvSpPr txBox="1">
          <a:spLocks xmlns:a="http://schemas.openxmlformats.org/drawingml/2006/main"/>
        </cdr:cNvSpPr>
      </cdr:nvSpPr>
      <cdr:spPr>
        <a:xfrm xmlns:a="http://schemas.openxmlformats.org/drawingml/2006/main">
          <a:off x="453933" y="1670365"/>
          <a:ext cx="631124" cy="471646"/>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7D4034-A28A-4CB4-9F70-EEAB996E4B6C}" type="TxLink">
            <a:rPr lang="en-US" sz="600" b="1" i="0" u="none" strike="noStrike">
              <a:solidFill>
                <a:srgbClr val="76B729"/>
              </a:solidFill>
              <a:latin typeface="Calibri"/>
              <a:ea typeface="Verdana" panose="020B0604030504040204" pitchFamily="34" charset="0"/>
              <a:cs typeface="Calibri"/>
            </a:rPr>
            <a:pPr algn="ctr"/>
            <a:t>ENERGIE</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0.06324</cdr:x>
      <cdr:y>0.24548</cdr:y>
    </cdr:from>
    <cdr:to>
      <cdr:x>0.37409</cdr:x>
      <cdr:y>0.36903</cdr:y>
    </cdr:to>
    <cdr:sp macro="" textlink="Text!$BA$48">
      <cdr:nvSpPr>
        <cdr:cNvPr id="12" name="Textfeld 11"/>
        <cdr:cNvSpPr txBox="1">
          <a:spLocks xmlns:a="http://schemas.openxmlformats.org/drawingml/2006/main"/>
        </cdr:cNvSpPr>
      </cdr:nvSpPr>
      <cdr:spPr>
        <a:xfrm xmlns:a="http://schemas.openxmlformats.org/drawingml/2006/main">
          <a:off x="265544" y="924683"/>
          <a:ext cx="1305203" cy="465393"/>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B1156D76-F399-43F9-9555-ECABFF9BA44E}" type="TxLink">
            <a:rPr lang="en-US" sz="600" b="1" i="0" u="none" strike="noStrike">
              <a:solidFill>
                <a:srgbClr val="76B729"/>
              </a:solidFill>
              <a:latin typeface="+mn-lt"/>
              <a:ea typeface="Verdana" panose="020B0604030504040204" pitchFamily="34" charset="0"/>
              <a:cs typeface="Calibri"/>
            </a:rPr>
            <a:pPr algn="ctr"/>
            <a:t>RESSOURCENSCHONUNG &amp; UMWELTSCHUTZ</a:t>
          </a:fld>
          <a:endParaRPr lang="de-CH" sz="600" b="1">
            <a:solidFill>
              <a:srgbClr val="76B729"/>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0.20333</cdr:x>
      <cdr:y>0.11157</cdr:y>
    </cdr:from>
    <cdr:to>
      <cdr:x>0.53894</cdr:x>
      <cdr:y>0.19923</cdr:y>
    </cdr:to>
    <cdr:sp macro="" textlink="Text!$BA$49">
      <cdr:nvSpPr>
        <cdr:cNvPr id="13" name="Textfeld 12"/>
        <cdr:cNvSpPr txBox="1">
          <a:spLocks xmlns:a="http://schemas.openxmlformats.org/drawingml/2006/main"/>
        </cdr:cNvSpPr>
      </cdr:nvSpPr>
      <cdr:spPr>
        <a:xfrm xmlns:a="http://schemas.openxmlformats.org/drawingml/2006/main">
          <a:off x="853724" y="420266"/>
          <a:ext cx="1409183" cy="330190"/>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71D2E67E-6689-4CAC-BBE7-57D96BD9F3BB}" type="TxLink">
            <a:rPr lang="en-US" sz="600" b="1" i="0" u="none" strike="noStrike">
              <a:solidFill>
                <a:srgbClr val="76B729"/>
              </a:solidFill>
              <a:latin typeface="+mn-lt"/>
              <a:ea typeface="Verdana" panose="020B0604030504040204" pitchFamily="34" charset="0"/>
              <a:cs typeface="Arial" panose="020B0604020202020204" pitchFamily="34" charset="0"/>
            </a:rPr>
            <a:pPr algn="ctr"/>
            <a:t>NATUR &amp; LANDSCHAFT</a:t>
          </a:fld>
          <a:endParaRPr lang="de-CH" sz="600" b="1">
            <a:solidFill>
              <a:srgbClr val="76B729"/>
            </a:solidFill>
            <a:latin typeface="+mn-lt"/>
            <a:ea typeface="Verdana" panose="020B0604030504040204" pitchFamily="34" charset="0"/>
            <a:cs typeface="Arial" panose="020B0604020202020204" pitchFamily="34" charset="0"/>
          </a:endParaRPr>
        </a:p>
      </cdr:txBody>
    </cdr:sp>
  </cdr:relSizeAnchor>
  <cdr:relSizeAnchor xmlns:cdr="http://schemas.openxmlformats.org/drawingml/2006/chartDrawing">
    <cdr:from>
      <cdr:x>0.13471</cdr:x>
      <cdr:y>0.82313</cdr:y>
    </cdr:from>
    <cdr:to>
      <cdr:x>0.3301</cdr:x>
      <cdr:y>0.88463</cdr:y>
    </cdr:to>
    <cdr:sp macro="" textlink="Text!$BA$46">
      <cdr:nvSpPr>
        <cdr:cNvPr id="14" name="Textfeld 13"/>
        <cdr:cNvSpPr txBox="1">
          <a:spLocks xmlns:a="http://schemas.openxmlformats.org/drawingml/2006/main"/>
        </cdr:cNvSpPr>
      </cdr:nvSpPr>
      <cdr:spPr>
        <a:xfrm xmlns:a="http://schemas.openxmlformats.org/drawingml/2006/main">
          <a:off x="734647" y="4139032"/>
          <a:ext cx="1065536" cy="309215"/>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FD0EA82D-B2B7-4C41-A5AD-9995C0B309E2}" type="TxLink">
            <a:rPr lang="en-US" sz="600" b="1" i="0" u="none" strike="noStrike">
              <a:solidFill>
                <a:srgbClr val="76B729"/>
              </a:solidFill>
              <a:latin typeface="Calibri"/>
              <a:ea typeface="Verdana" panose="020B0604030504040204" pitchFamily="34" charset="0"/>
              <a:cs typeface="Calibri"/>
            </a:rPr>
            <a:pPr algn="ctr"/>
            <a:t>KLIMASCHUTZ</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4.xml><?xml version="1.0" encoding="utf-8"?>
<xdr:wsDr xmlns:xdr="http://schemas.openxmlformats.org/drawingml/2006/spreadsheetDrawing" xmlns:a="http://schemas.openxmlformats.org/drawingml/2006/main">
  <xdr:oneCellAnchor>
    <xdr:from>
      <xdr:col>24</xdr:col>
      <xdr:colOff>172358</xdr:colOff>
      <xdr:row>78</xdr:row>
      <xdr:rowOff>90715</xdr:rowOff>
    </xdr:from>
    <xdr:ext cx="184731" cy="264560"/>
    <xdr:sp macro="" textlink="">
      <xdr:nvSpPr>
        <xdr:cNvPr id="2" name="Textfeld 1">
          <a:extLst>
            <a:ext uri="{FF2B5EF4-FFF2-40B4-BE49-F238E27FC236}">
              <a16:creationId xmlns:a16="http://schemas.microsoft.com/office/drawing/2014/main" id="{BCD78EED-8B0E-7D77-BB98-530874581B24}"/>
            </a:ext>
          </a:extLst>
        </xdr:cNvPr>
        <xdr:cNvSpPr txBox="1"/>
      </xdr:nvSpPr>
      <xdr:spPr>
        <a:xfrm>
          <a:off x="13198929" y="84364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24</xdr:col>
      <xdr:colOff>172358</xdr:colOff>
      <xdr:row>114</xdr:row>
      <xdr:rowOff>90715</xdr:rowOff>
    </xdr:from>
    <xdr:ext cx="184731" cy="264560"/>
    <xdr:sp macro="" textlink="">
      <xdr:nvSpPr>
        <xdr:cNvPr id="3" name="Textfeld 2">
          <a:extLst>
            <a:ext uri="{FF2B5EF4-FFF2-40B4-BE49-F238E27FC236}">
              <a16:creationId xmlns:a16="http://schemas.microsoft.com/office/drawing/2014/main" id="{06C4FD0C-7ABF-4D11-8463-7B1229449F82}"/>
            </a:ext>
          </a:extLst>
        </xdr:cNvPr>
        <xdr:cNvSpPr txBox="1"/>
      </xdr:nvSpPr>
      <xdr:spPr>
        <a:xfrm>
          <a:off x="14487072" y="57150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13</xdr:col>
      <xdr:colOff>138545</xdr:colOff>
      <xdr:row>130</xdr:row>
      <xdr:rowOff>120573</xdr:rowOff>
    </xdr:from>
    <xdr:to>
      <xdr:col>16</xdr:col>
      <xdr:colOff>3374</xdr:colOff>
      <xdr:row>138</xdr:row>
      <xdr:rowOff>115302</xdr:rowOff>
    </xdr:to>
    <xdr:graphicFrame macro="">
      <xdr:nvGraphicFramePr>
        <xdr:cNvPr id="114" name="Diagramm 113">
          <a:extLst>
            <a:ext uri="{FF2B5EF4-FFF2-40B4-BE49-F238E27FC236}">
              <a16:creationId xmlns:a16="http://schemas.microsoft.com/office/drawing/2014/main" id="{D23A7214-66E5-4661-A1D5-13AEB6FD95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4716</xdr:colOff>
      <xdr:row>130</xdr:row>
      <xdr:rowOff>120573</xdr:rowOff>
    </xdr:from>
    <xdr:to>
      <xdr:col>17</xdr:col>
      <xdr:colOff>1188037</xdr:colOff>
      <xdr:row>138</xdr:row>
      <xdr:rowOff>113073</xdr:rowOff>
    </xdr:to>
    <xdr:graphicFrame macro="">
      <xdr:nvGraphicFramePr>
        <xdr:cNvPr id="115" name="DiagrammGesellschaft_Klima">
          <a:extLst>
            <a:ext uri="{FF2B5EF4-FFF2-40B4-BE49-F238E27FC236}">
              <a16:creationId xmlns:a16="http://schemas.microsoft.com/office/drawing/2014/main" id="{F9DFD8E6-43A6-4211-BAB2-DFAE086C0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27213</xdr:colOff>
      <xdr:row>465</xdr:row>
      <xdr:rowOff>3</xdr:rowOff>
    </xdr:from>
    <xdr:to>
      <xdr:col>28</xdr:col>
      <xdr:colOff>38265</xdr:colOff>
      <xdr:row>522</xdr:row>
      <xdr:rowOff>99946</xdr:rowOff>
    </xdr:to>
    <xdr:grpSp>
      <xdr:nvGrpSpPr>
        <xdr:cNvPr id="184" name="Piktogramme_Kli" hidden="1">
          <a:extLst>
            <a:ext uri="{FF2B5EF4-FFF2-40B4-BE49-F238E27FC236}">
              <a16:creationId xmlns:a16="http://schemas.microsoft.com/office/drawing/2014/main" id="{F81EB3F6-8A7B-48A3-B68E-51AE7892BD56}"/>
            </a:ext>
          </a:extLst>
        </xdr:cNvPr>
        <xdr:cNvGrpSpPr/>
      </xdr:nvGrpSpPr>
      <xdr:grpSpPr>
        <a:xfrm>
          <a:off x="512801" y="32698765"/>
          <a:ext cx="13039758" cy="0"/>
          <a:chOff x="501373" y="24888985"/>
          <a:chExt cx="13019480" cy="6749300"/>
        </a:xfrm>
      </xdr:grpSpPr>
      <xdr:pic>
        <xdr:nvPicPr>
          <xdr:cNvPr id="185" name="Grafik 184" hidden="1">
            <a:extLst>
              <a:ext uri="{FF2B5EF4-FFF2-40B4-BE49-F238E27FC236}">
                <a16:creationId xmlns:a16="http://schemas.microsoft.com/office/drawing/2014/main" id="{F8E84AEB-C86F-E26F-5096-91491DFC9E9E}"/>
              </a:ext>
            </a:extLst>
          </xdr:cNvPr>
          <xdr:cNvPicPr>
            <a:picLocks/>
          </xdr:cNvPicPr>
        </xdr:nvPicPr>
        <xdr:blipFill>
          <a:blip xmlns:r="http://schemas.openxmlformats.org/officeDocument/2006/relationships" r:embed="rId3"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01373" y="26488571"/>
            <a:ext cx="355876" cy="360000"/>
          </a:xfrm>
          <a:prstGeom prst="rect">
            <a:avLst/>
          </a:prstGeom>
        </xdr:spPr>
      </xdr:pic>
      <xdr:pic>
        <xdr:nvPicPr>
          <xdr:cNvPr id="189" name="Grafik 188" hidden="1">
            <a:extLst>
              <a:ext uri="{FF2B5EF4-FFF2-40B4-BE49-F238E27FC236}">
                <a16:creationId xmlns:a16="http://schemas.microsoft.com/office/drawing/2014/main" id="{90C06E9A-CA86-2066-F0E5-1ED3237F0554}"/>
              </a:ext>
            </a:extLst>
          </xdr:cNvPr>
          <xdr:cNvPicPr>
            <a:picLocks/>
          </xdr:cNvPicPr>
        </xdr:nvPicPr>
        <xdr:blipFill>
          <a:blip xmlns:r="http://schemas.openxmlformats.org/officeDocument/2006/relationships" r:embed="rId4"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10255" y="25418143"/>
            <a:ext cx="355876" cy="360000"/>
          </a:xfrm>
          <a:prstGeom prst="rect">
            <a:avLst/>
          </a:prstGeom>
        </xdr:spPr>
      </xdr:pic>
      <xdr:pic>
        <xdr:nvPicPr>
          <xdr:cNvPr id="192" name="Grafik 191" hidden="1">
            <a:extLst>
              <a:ext uri="{FF2B5EF4-FFF2-40B4-BE49-F238E27FC236}">
                <a16:creationId xmlns:a16="http://schemas.microsoft.com/office/drawing/2014/main" id="{B1F865B1-A1B7-B0ED-0B90-8286F0215F02}"/>
              </a:ext>
            </a:extLst>
          </xdr:cNvPr>
          <xdr:cNvPicPr>
            <a:picLocks/>
          </xdr:cNvPicPr>
        </xdr:nvPicPr>
        <xdr:blipFill>
          <a:blip xmlns:r="http://schemas.openxmlformats.org/officeDocument/2006/relationships" r:embed="rId5"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10255" y="25812670"/>
            <a:ext cx="355876" cy="364123"/>
          </a:xfrm>
          <a:prstGeom prst="rect">
            <a:avLst/>
          </a:prstGeom>
        </xdr:spPr>
      </xdr:pic>
      <xdr:pic>
        <xdr:nvPicPr>
          <xdr:cNvPr id="200" name="Grafik 199" hidden="1">
            <a:extLst>
              <a:ext uri="{FF2B5EF4-FFF2-40B4-BE49-F238E27FC236}">
                <a16:creationId xmlns:a16="http://schemas.microsoft.com/office/drawing/2014/main" id="{6EFCF53B-B8F0-FC42-5944-EFA1BDC53577}"/>
              </a:ext>
            </a:extLst>
          </xdr:cNvPr>
          <xdr:cNvPicPr>
            <a:picLocks/>
          </xdr:cNvPicPr>
        </xdr:nvPicPr>
        <xdr:blipFill>
          <a:blip xmlns:r="http://schemas.openxmlformats.org/officeDocument/2006/relationships" r:embed="rId6"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08844" y="24888985"/>
            <a:ext cx="355876" cy="360000"/>
          </a:xfrm>
          <a:prstGeom prst="rect">
            <a:avLst/>
          </a:prstGeom>
        </xdr:spPr>
      </xdr:pic>
      <xdr:pic>
        <xdr:nvPicPr>
          <xdr:cNvPr id="201" name="Grafik 200" hidden="1">
            <a:extLst>
              <a:ext uri="{FF2B5EF4-FFF2-40B4-BE49-F238E27FC236}">
                <a16:creationId xmlns:a16="http://schemas.microsoft.com/office/drawing/2014/main" id="{92D12851-A6CF-7EDB-D312-1A74B3B6D501}"/>
              </a:ext>
            </a:extLst>
          </xdr:cNvPr>
          <xdr:cNvPicPr>
            <a:picLocks noChangeAspect="1"/>
          </xdr:cNvPicPr>
        </xdr:nvPicPr>
        <xdr:blipFill>
          <a:blip xmlns:r="http://schemas.openxmlformats.org/officeDocument/2006/relationships" r:embed="rId7"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37873" y="26509571"/>
            <a:ext cx="353474" cy="360000"/>
          </a:xfrm>
          <a:prstGeom prst="rect">
            <a:avLst/>
          </a:prstGeom>
        </xdr:spPr>
      </xdr:pic>
      <xdr:pic>
        <xdr:nvPicPr>
          <xdr:cNvPr id="203" name="Grafik 202" hidden="1">
            <a:extLst>
              <a:ext uri="{FF2B5EF4-FFF2-40B4-BE49-F238E27FC236}">
                <a16:creationId xmlns:a16="http://schemas.microsoft.com/office/drawing/2014/main" id="{3BB7355D-6D1E-CF9C-A5CA-40BBAC426137}"/>
              </a:ext>
            </a:extLst>
          </xdr:cNvPr>
          <xdr:cNvPicPr>
            <a:picLocks noChangeAspect="1"/>
          </xdr:cNvPicPr>
        </xdr:nvPicPr>
        <xdr:blipFill>
          <a:blip xmlns:r="http://schemas.openxmlformats.org/officeDocument/2006/relationships" r:embed="rId8"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46755" y="25443543"/>
            <a:ext cx="359321" cy="360000"/>
          </a:xfrm>
          <a:prstGeom prst="rect">
            <a:avLst/>
          </a:prstGeom>
        </xdr:spPr>
      </xdr:pic>
      <xdr:pic>
        <xdr:nvPicPr>
          <xdr:cNvPr id="204" name="Grafik 203" hidden="1">
            <a:extLst>
              <a:ext uri="{FF2B5EF4-FFF2-40B4-BE49-F238E27FC236}">
                <a16:creationId xmlns:a16="http://schemas.microsoft.com/office/drawing/2014/main" id="{BB6317C2-4D3B-9D67-F494-0C5D5E0AF110}"/>
              </a:ext>
            </a:extLst>
          </xdr:cNvPr>
          <xdr:cNvPicPr>
            <a:picLocks noChangeAspect="1"/>
          </xdr:cNvPicPr>
        </xdr:nvPicPr>
        <xdr:blipFill>
          <a:blip xmlns:r="http://schemas.openxmlformats.org/officeDocument/2006/relationships" r:embed="rId9"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46755" y="25851757"/>
            <a:ext cx="359321" cy="360679"/>
          </a:xfrm>
          <a:prstGeom prst="rect">
            <a:avLst/>
          </a:prstGeom>
        </xdr:spPr>
      </xdr:pic>
      <xdr:pic>
        <xdr:nvPicPr>
          <xdr:cNvPr id="205" name="Grafik 204" hidden="1">
            <a:extLst>
              <a:ext uri="{FF2B5EF4-FFF2-40B4-BE49-F238E27FC236}">
                <a16:creationId xmlns:a16="http://schemas.microsoft.com/office/drawing/2014/main" id="{3E305175-F196-AEB5-0C77-D55585591BFB}"/>
              </a:ext>
            </a:extLst>
          </xdr:cNvPr>
          <xdr:cNvPicPr>
            <a:picLocks noChangeAspect="1"/>
          </xdr:cNvPicPr>
        </xdr:nvPicPr>
        <xdr:blipFill>
          <a:blip xmlns:r="http://schemas.openxmlformats.org/officeDocument/2006/relationships" r:embed="rId10"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45344" y="24914385"/>
            <a:ext cx="359321" cy="360000"/>
          </a:xfrm>
          <a:prstGeom prst="rect">
            <a:avLst/>
          </a:prstGeom>
        </xdr:spPr>
      </xdr:pic>
      <xdr:pic>
        <xdr:nvPicPr>
          <xdr:cNvPr id="207" name="Grafik 206" hidden="1">
            <a:extLst>
              <a:ext uri="{FF2B5EF4-FFF2-40B4-BE49-F238E27FC236}">
                <a16:creationId xmlns:a16="http://schemas.microsoft.com/office/drawing/2014/main" id="{8AD72982-D5DD-3959-15CA-F9C3C03764AA}"/>
              </a:ext>
            </a:extLst>
          </xdr:cNvPr>
          <xdr:cNvPicPr>
            <a:picLocks/>
          </xdr:cNvPicPr>
        </xdr:nvPicPr>
        <xdr:blipFill>
          <a:blip xmlns:r="http://schemas.openxmlformats.org/officeDocument/2006/relationships" r:embed="rId11"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18141" y="27835414"/>
            <a:ext cx="355876" cy="360000"/>
          </a:xfrm>
          <a:prstGeom prst="rect">
            <a:avLst/>
          </a:prstGeom>
        </xdr:spPr>
      </xdr:pic>
      <xdr:pic>
        <xdr:nvPicPr>
          <xdr:cNvPr id="209" name="Grafik 208" hidden="1">
            <a:extLst>
              <a:ext uri="{FF2B5EF4-FFF2-40B4-BE49-F238E27FC236}">
                <a16:creationId xmlns:a16="http://schemas.microsoft.com/office/drawing/2014/main" id="{12ED7BB0-E910-DC49-FA6F-8FB0F0CE2176}"/>
              </a:ext>
            </a:extLst>
          </xdr:cNvPr>
          <xdr:cNvPicPr>
            <a:picLocks/>
          </xdr:cNvPicPr>
        </xdr:nvPicPr>
        <xdr:blipFill>
          <a:blip xmlns:r="http://schemas.openxmlformats.org/officeDocument/2006/relationships" r:embed="rId12"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20084" y="28235421"/>
            <a:ext cx="355876" cy="360000"/>
          </a:xfrm>
          <a:prstGeom prst="rect">
            <a:avLst/>
          </a:prstGeom>
        </xdr:spPr>
      </xdr:pic>
      <xdr:pic>
        <xdr:nvPicPr>
          <xdr:cNvPr id="211" name="Grafik 210" hidden="1">
            <a:extLst>
              <a:ext uri="{FF2B5EF4-FFF2-40B4-BE49-F238E27FC236}">
                <a16:creationId xmlns:a16="http://schemas.microsoft.com/office/drawing/2014/main" id="{88FFC624-41A9-7771-0F04-2EC697BDC035}"/>
              </a:ext>
            </a:extLst>
          </xdr:cNvPr>
          <xdr:cNvPicPr>
            <a:picLocks/>
          </xdr:cNvPicPr>
        </xdr:nvPicPr>
        <xdr:blipFill>
          <a:blip xmlns:r="http://schemas.openxmlformats.org/officeDocument/2006/relationships" r:embed="rId13"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12613" y="28636899"/>
            <a:ext cx="355876" cy="360000"/>
          </a:xfrm>
          <a:prstGeom prst="rect">
            <a:avLst/>
          </a:prstGeom>
        </xdr:spPr>
      </xdr:pic>
      <xdr:pic>
        <xdr:nvPicPr>
          <xdr:cNvPr id="217" name="Grafik 216" hidden="1">
            <a:extLst>
              <a:ext uri="{FF2B5EF4-FFF2-40B4-BE49-F238E27FC236}">
                <a16:creationId xmlns:a16="http://schemas.microsoft.com/office/drawing/2014/main" id="{1553D29D-17CE-828F-EB10-87F9063F2E6E}"/>
              </a:ext>
            </a:extLst>
          </xdr:cNvPr>
          <xdr:cNvPicPr>
            <a:picLocks noChangeAspect="1"/>
          </xdr:cNvPicPr>
        </xdr:nvPicPr>
        <xdr:blipFill>
          <a:blip xmlns:r="http://schemas.openxmlformats.org/officeDocument/2006/relationships" r:embed="rId11"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13154641" y="27801942"/>
            <a:ext cx="364948" cy="359321"/>
          </a:xfrm>
          <a:prstGeom prst="rect">
            <a:avLst/>
          </a:prstGeom>
        </xdr:spPr>
      </xdr:pic>
      <xdr:pic>
        <xdr:nvPicPr>
          <xdr:cNvPr id="219" name="Grafik 218" hidden="1">
            <a:extLst>
              <a:ext uri="{FF2B5EF4-FFF2-40B4-BE49-F238E27FC236}">
                <a16:creationId xmlns:a16="http://schemas.microsoft.com/office/drawing/2014/main" id="{893A1D55-C2DB-258B-DFD6-670D4BAADDA7}"/>
              </a:ext>
            </a:extLst>
          </xdr:cNvPr>
          <xdr:cNvPicPr>
            <a:picLocks noChangeAspect="1"/>
          </xdr:cNvPicPr>
        </xdr:nvPicPr>
        <xdr:blipFill>
          <a:blip xmlns:r="http://schemas.openxmlformats.org/officeDocument/2006/relationships" r:embed="rId12"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13156584" y="28219249"/>
            <a:ext cx="364269" cy="359321"/>
          </a:xfrm>
          <a:prstGeom prst="rect">
            <a:avLst/>
          </a:prstGeom>
        </xdr:spPr>
      </xdr:pic>
      <xdr:pic>
        <xdr:nvPicPr>
          <xdr:cNvPr id="222" name="Grafik 221" hidden="1">
            <a:extLst>
              <a:ext uri="{FF2B5EF4-FFF2-40B4-BE49-F238E27FC236}">
                <a16:creationId xmlns:a16="http://schemas.microsoft.com/office/drawing/2014/main" id="{F94C0494-EC2B-F0FF-70A8-404C6378D387}"/>
              </a:ext>
            </a:extLst>
          </xdr:cNvPr>
          <xdr:cNvPicPr>
            <a:picLocks/>
          </xdr:cNvPicPr>
        </xdr:nvPicPr>
        <xdr:blipFill>
          <a:blip xmlns:r="http://schemas.openxmlformats.org/officeDocument/2006/relationships" r:embed="rId14" cstate="print">
            <a:clrChange>
              <a:clrFrom>
                <a:srgbClr val="DAECD0"/>
              </a:clrFrom>
              <a:clrTo>
                <a:srgbClr val="DAECD0">
                  <a:alpha val="0"/>
                </a:srgbClr>
              </a:clrTo>
            </a:clrChange>
            <a:extLst>
              <a:ext uri="{28A0092B-C50C-407E-A947-70E740481C1C}">
                <a14:useLocalDpi xmlns:a14="http://schemas.microsoft.com/office/drawing/2010/main" val="0"/>
              </a:ext>
            </a:extLst>
          </a:blip>
          <a:stretch>
            <a:fillRect/>
          </a:stretch>
        </xdr:blipFill>
        <xdr:spPr>
          <a:xfrm>
            <a:off x="520084" y="30090971"/>
            <a:ext cx="355876" cy="360000"/>
          </a:xfrm>
          <a:prstGeom prst="rect">
            <a:avLst/>
          </a:prstGeom>
        </xdr:spPr>
      </xdr:pic>
      <xdr:pic>
        <xdr:nvPicPr>
          <xdr:cNvPr id="223" name="Grafik 222" hidden="1">
            <a:extLst>
              <a:ext uri="{FF2B5EF4-FFF2-40B4-BE49-F238E27FC236}">
                <a16:creationId xmlns:a16="http://schemas.microsoft.com/office/drawing/2014/main" id="{96EF6D67-BBB2-C964-B8B0-EFBABE067E76}"/>
              </a:ext>
            </a:extLst>
          </xdr:cNvPr>
          <xdr:cNvPicPr>
            <a:picLocks/>
          </xdr:cNvPicPr>
        </xdr:nvPicPr>
        <xdr:blipFill>
          <a:blip xmlns:r="http://schemas.openxmlformats.org/officeDocument/2006/relationships" r:embed="rId15" cstate="print">
            <a:clrChange>
              <a:clrFrom>
                <a:srgbClr val="DCEDD1"/>
              </a:clrFrom>
              <a:clrTo>
                <a:srgbClr val="DCEDD1">
                  <a:alpha val="0"/>
                </a:srgbClr>
              </a:clrTo>
            </a:clrChange>
            <a:extLst>
              <a:ext uri="{28A0092B-C50C-407E-A947-70E740481C1C}">
                <a14:useLocalDpi xmlns:a14="http://schemas.microsoft.com/office/drawing/2010/main" val="0"/>
              </a:ext>
            </a:extLst>
          </a:blip>
          <a:stretch>
            <a:fillRect/>
          </a:stretch>
        </xdr:blipFill>
        <xdr:spPr>
          <a:xfrm>
            <a:off x="519790" y="31274161"/>
            <a:ext cx="355876" cy="364124"/>
          </a:xfrm>
          <a:prstGeom prst="rect">
            <a:avLst/>
          </a:prstGeom>
        </xdr:spPr>
      </xdr:pic>
      <xdr:pic>
        <xdr:nvPicPr>
          <xdr:cNvPr id="224" name="Grafik 223" hidden="1">
            <a:extLst>
              <a:ext uri="{FF2B5EF4-FFF2-40B4-BE49-F238E27FC236}">
                <a16:creationId xmlns:a16="http://schemas.microsoft.com/office/drawing/2014/main" id="{C85EA5A6-641C-9E54-795B-F4E7D2B271F2}"/>
              </a:ext>
            </a:extLst>
          </xdr:cNvPr>
          <xdr:cNvPicPr preferRelativeResize="0">
            <a:picLocks/>
          </xdr:cNvPicPr>
        </xdr:nvPicPr>
        <xdr:blipFill>
          <a:blip xmlns:r="http://schemas.openxmlformats.org/officeDocument/2006/relationships" r:embed="rId16" cstate="print">
            <a:clrChange>
              <a:clrFrom>
                <a:srgbClr val="DEEED3"/>
              </a:clrFrom>
              <a:clrTo>
                <a:srgbClr val="DEEED3">
                  <a:alpha val="0"/>
                </a:srgbClr>
              </a:clrTo>
            </a:clrChange>
            <a:extLst>
              <a:ext uri="{28A0092B-C50C-407E-A947-70E740481C1C}">
                <a14:useLocalDpi xmlns:a14="http://schemas.microsoft.com/office/drawing/2010/main" val="0"/>
              </a:ext>
            </a:extLst>
          </a:blip>
          <a:stretch>
            <a:fillRect/>
          </a:stretch>
        </xdr:blipFill>
        <xdr:spPr>
          <a:xfrm>
            <a:off x="510066" y="30670497"/>
            <a:ext cx="355876" cy="360000"/>
          </a:xfrm>
          <a:prstGeom prst="rect">
            <a:avLst/>
          </a:prstGeom>
        </xdr:spPr>
      </xdr:pic>
      <xdr:pic>
        <xdr:nvPicPr>
          <xdr:cNvPr id="226" name="Grafik 225" hidden="1">
            <a:extLst>
              <a:ext uri="{FF2B5EF4-FFF2-40B4-BE49-F238E27FC236}">
                <a16:creationId xmlns:a16="http://schemas.microsoft.com/office/drawing/2014/main" id="{A13A86B0-DDA2-FEB2-1DF5-7BD3DB3BFDA9}"/>
              </a:ext>
            </a:extLst>
          </xdr:cNvPr>
          <xdr:cNvPicPr preferRelativeResize="0">
            <a:picLocks/>
          </xdr:cNvPicPr>
        </xdr:nvPicPr>
        <xdr:blipFill>
          <a:blip xmlns:r="http://schemas.openxmlformats.org/officeDocument/2006/relationships" r:embed="rId17" cstate="print">
            <a:clrChange>
              <a:clrFrom>
                <a:srgbClr val="DBEDCE"/>
              </a:clrFrom>
              <a:clrTo>
                <a:srgbClr val="DBEDCE">
                  <a:alpha val="0"/>
                </a:srgbClr>
              </a:clrTo>
            </a:clrChange>
            <a:extLst>
              <a:ext uri="{28A0092B-C50C-407E-A947-70E740481C1C}">
                <a14:useLocalDpi xmlns:a14="http://schemas.microsoft.com/office/drawing/2010/main" val="0"/>
              </a:ext>
            </a:extLst>
          </a:blip>
          <a:stretch>
            <a:fillRect/>
          </a:stretch>
        </xdr:blipFill>
        <xdr:spPr>
          <a:xfrm>
            <a:off x="13153756" y="29673795"/>
            <a:ext cx="362473" cy="360000"/>
          </a:xfrm>
          <a:prstGeom prst="rect">
            <a:avLst/>
          </a:prstGeom>
        </xdr:spPr>
      </xdr:pic>
      <xdr:pic>
        <xdr:nvPicPr>
          <xdr:cNvPr id="228" name="Grafik 227" hidden="1">
            <a:extLst>
              <a:ext uri="{FF2B5EF4-FFF2-40B4-BE49-F238E27FC236}">
                <a16:creationId xmlns:a16="http://schemas.microsoft.com/office/drawing/2014/main" id="{ABE08F9A-ADA5-8B00-89F3-0E51F5D36F3A}"/>
              </a:ext>
            </a:extLst>
          </xdr:cNvPr>
          <xdr:cNvPicPr>
            <a:picLocks/>
          </xdr:cNvPicPr>
        </xdr:nvPicPr>
        <xdr:blipFill>
          <a:blip xmlns:r="http://schemas.openxmlformats.org/officeDocument/2006/relationships" r:embed="rId18" cstate="print">
            <a:clrChange>
              <a:clrFrom>
                <a:srgbClr val="DAECD0"/>
              </a:clrFrom>
              <a:clrTo>
                <a:srgbClr val="DAECD0">
                  <a:alpha val="0"/>
                </a:srgbClr>
              </a:clrTo>
            </a:clrChange>
            <a:extLst>
              <a:ext uri="{28A0092B-C50C-407E-A947-70E740481C1C}">
                <a14:useLocalDpi xmlns:a14="http://schemas.microsoft.com/office/drawing/2010/main" val="0"/>
              </a:ext>
            </a:extLst>
          </a:blip>
          <a:stretch>
            <a:fillRect/>
          </a:stretch>
        </xdr:blipFill>
        <xdr:spPr>
          <a:xfrm>
            <a:off x="13150393" y="30075056"/>
            <a:ext cx="362473" cy="364123"/>
          </a:xfrm>
          <a:prstGeom prst="rect">
            <a:avLst/>
          </a:prstGeom>
        </xdr:spPr>
      </xdr:pic>
      <xdr:pic>
        <xdr:nvPicPr>
          <xdr:cNvPr id="233" name="Grafik 232" hidden="1">
            <a:extLst>
              <a:ext uri="{FF2B5EF4-FFF2-40B4-BE49-F238E27FC236}">
                <a16:creationId xmlns:a16="http://schemas.microsoft.com/office/drawing/2014/main" id="{A4ED0C39-48BD-C1C7-592D-D15640ADE301}"/>
              </a:ext>
            </a:extLst>
          </xdr:cNvPr>
          <xdr:cNvPicPr>
            <a:picLocks/>
          </xdr:cNvPicPr>
        </xdr:nvPicPr>
        <xdr:blipFill>
          <a:blip xmlns:r="http://schemas.openxmlformats.org/officeDocument/2006/relationships" r:embed="rId19" cstate="print">
            <a:clrChange>
              <a:clrFrom>
                <a:srgbClr val="DCEDD1"/>
              </a:clrFrom>
              <a:clrTo>
                <a:srgbClr val="DCEDD1">
                  <a:alpha val="0"/>
                </a:srgbClr>
              </a:clrTo>
            </a:clrChange>
            <a:extLst>
              <a:ext uri="{28A0092B-C50C-407E-A947-70E740481C1C}">
                <a14:useLocalDpi xmlns:a14="http://schemas.microsoft.com/office/drawing/2010/main" val="0"/>
              </a:ext>
            </a:extLst>
          </a:blip>
          <a:stretch>
            <a:fillRect/>
          </a:stretch>
        </xdr:blipFill>
        <xdr:spPr>
          <a:xfrm>
            <a:off x="13150099" y="31270258"/>
            <a:ext cx="362473" cy="364124"/>
          </a:xfrm>
          <a:prstGeom prst="rect">
            <a:avLst/>
          </a:prstGeom>
        </xdr:spPr>
      </xdr:pic>
      <xdr:pic>
        <xdr:nvPicPr>
          <xdr:cNvPr id="234" name="Grafik 233" hidden="1">
            <a:extLst>
              <a:ext uri="{FF2B5EF4-FFF2-40B4-BE49-F238E27FC236}">
                <a16:creationId xmlns:a16="http://schemas.microsoft.com/office/drawing/2014/main" id="{C2CE6C7D-84E5-1C3C-283B-3CEC7923CF81}"/>
              </a:ext>
            </a:extLst>
          </xdr:cNvPr>
          <xdr:cNvPicPr>
            <a:picLocks/>
          </xdr:cNvPicPr>
        </xdr:nvPicPr>
        <xdr:blipFill>
          <a:blip xmlns:r="http://schemas.openxmlformats.org/officeDocument/2006/relationships" r:embed="rId20" cstate="print">
            <a:clrChange>
              <a:clrFrom>
                <a:srgbClr val="DEEED3"/>
              </a:clrFrom>
              <a:clrTo>
                <a:srgbClr val="DEEED3">
                  <a:alpha val="0"/>
                </a:srgbClr>
              </a:clrTo>
            </a:clrChange>
            <a:extLst>
              <a:ext uri="{28A0092B-C50C-407E-A947-70E740481C1C}">
                <a14:useLocalDpi xmlns:a14="http://schemas.microsoft.com/office/drawing/2010/main" val="0"/>
              </a:ext>
            </a:extLst>
          </a:blip>
          <a:stretch>
            <a:fillRect/>
          </a:stretch>
        </xdr:blipFill>
        <xdr:spPr>
          <a:xfrm>
            <a:off x="13140375" y="30663899"/>
            <a:ext cx="362473" cy="360000"/>
          </a:xfrm>
          <a:prstGeom prst="rect">
            <a:avLst/>
          </a:prstGeom>
        </xdr:spPr>
      </xdr:pic>
      <xdr:pic>
        <xdr:nvPicPr>
          <xdr:cNvPr id="235" name="Grafik 234" hidden="1">
            <a:extLst>
              <a:ext uri="{FF2B5EF4-FFF2-40B4-BE49-F238E27FC236}">
                <a16:creationId xmlns:a16="http://schemas.microsoft.com/office/drawing/2014/main" id="{D65D56DA-E0E0-19F7-4D91-FC58D9DFE900}"/>
              </a:ext>
            </a:extLst>
          </xdr:cNvPr>
          <xdr:cNvPicPr preferRelativeResize="0">
            <a:picLocks/>
          </xdr:cNvPicPr>
        </xdr:nvPicPr>
        <xdr:blipFill>
          <a:blip xmlns:r="http://schemas.openxmlformats.org/officeDocument/2006/relationships" r:embed="rId17" cstate="print">
            <a:clrChange>
              <a:clrFrom>
                <a:srgbClr val="DBEDCE"/>
              </a:clrFrom>
              <a:clrTo>
                <a:srgbClr val="DBEDCE">
                  <a:alpha val="0"/>
                </a:srgbClr>
              </a:clrTo>
            </a:clrChange>
            <a:extLst>
              <a:ext uri="{28A0092B-C50C-407E-A947-70E740481C1C}">
                <a14:useLocalDpi xmlns:a14="http://schemas.microsoft.com/office/drawing/2010/main" val="0"/>
              </a:ext>
            </a:extLst>
          </a:blip>
          <a:stretch>
            <a:fillRect/>
          </a:stretch>
        </xdr:blipFill>
        <xdr:spPr>
          <a:xfrm>
            <a:off x="517256" y="29673795"/>
            <a:ext cx="355876" cy="360000"/>
          </a:xfrm>
          <a:prstGeom prst="rect">
            <a:avLst/>
          </a:prstGeom>
        </xdr:spPr>
      </xdr:pic>
    </xdr:grpSp>
    <xdr:clientData/>
  </xdr:twoCellAnchor>
  <xdr:twoCellAnchor>
    <xdr:from>
      <xdr:col>13</xdr:col>
      <xdr:colOff>0</xdr:colOff>
      <xdr:row>330</xdr:row>
      <xdr:rowOff>0</xdr:rowOff>
    </xdr:from>
    <xdr:to>
      <xdr:col>14</xdr:col>
      <xdr:colOff>1257715</xdr:colOff>
      <xdr:row>337</xdr:row>
      <xdr:rowOff>124172</xdr:rowOff>
    </xdr:to>
    <xdr:graphicFrame macro="">
      <xdr:nvGraphicFramePr>
        <xdr:cNvPr id="323" name="Diagramm 322">
          <a:extLst>
            <a:ext uri="{FF2B5EF4-FFF2-40B4-BE49-F238E27FC236}">
              <a16:creationId xmlns:a16="http://schemas.microsoft.com/office/drawing/2014/main" id="{0B0FEE3B-8567-4ED5-B5FA-2A3AEF6C8A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11</xdr:col>
      <xdr:colOff>89941</xdr:colOff>
      <xdr:row>187</xdr:row>
      <xdr:rowOff>210900</xdr:rowOff>
    </xdr:from>
    <xdr:to>
      <xdr:col>16</xdr:col>
      <xdr:colOff>327909</xdr:colOff>
      <xdr:row>197</xdr:row>
      <xdr:rowOff>57727</xdr:rowOff>
    </xdr:to>
    <xdr:grpSp>
      <xdr:nvGrpSpPr>
        <xdr:cNvPr id="271" name="Gruppieren 270">
          <a:extLst>
            <a:ext uri="{FF2B5EF4-FFF2-40B4-BE49-F238E27FC236}">
              <a16:creationId xmlns:a16="http://schemas.microsoft.com/office/drawing/2014/main" id="{8C0A4C68-7945-BFBA-96A9-81B316043060}"/>
            </a:ext>
          </a:extLst>
        </xdr:cNvPr>
        <xdr:cNvGrpSpPr/>
      </xdr:nvGrpSpPr>
      <xdr:grpSpPr>
        <a:xfrm>
          <a:off x="6029059" y="32698765"/>
          <a:ext cx="2135497" cy="0"/>
          <a:chOff x="5922870" y="33579573"/>
          <a:chExt cx="2141154" cy="875527"/>
        </a:xfrm>
      </xdr:grpSpPr>
      <xdr:grpSp>
        <xdr:nvGrpSpPr>
          <xdr:cNvPr id="270" name="Gruppieren 269">
            <a:extLst>
              <a:ext uri="{FF2B5EF4-FFF2-40B4-BE49-F238E27FC236}">
                <a16:creationId xmlns:a16="http://schemas.microsoft.com/office/drawing/2014/main" id="{9D2B0641-7190-FB70-39BB-8E482ECDE6F5}"/>
              </a:ext>
            </a:extLst>
          </xdr:cNvPr>
          <xdr:cNvGrpSpPr/>
        </xdr:nvGrpSpPr>
        <xdr:grpSpPr>
          <a:xfrm>
            <a:off x="6031192" y="33691945"/>
            <a:ext cx="1568450" cy="763155"/>
            <a:chOff x="6031192" y="33691945"/>
            <a:chExt cx="1568450" cy="763155"/>
          </a:xfrm>
        </xdr:grpSpPr>
        <xdr:sp macro="" textlink="Text!C558">
          <xdr:nvSpPr>
            <xdr:cNvPr id="188" name="Textfeld 67">
              <a:extLst>
                <a:ext uri="{FF2B5EF4-FFF2-40B4-BE49-F238E27FC236}">
                  <a16:creationId xmlns:a16="http://schemas.microsoft.com/office/drawing/2014/main" id="{30E36C7F-D970-46E1-9D15-E32EA9408CDF}"/>
                </a:ext>
              </a:extLst>
            </xdr:cNvPr>
            <xdr:cNvSpPr txBox="1"/>
          </xdr:nvSpPr>
          <xdr:spPr>
            <a:xfrm rot="16200000">
              <a:off x="6828561" y="33912075"/>
              <a:ext cx="742553"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sp macro="" textlink="Text!C559">
          <xdr:nvSpPr>
            <xdr:cNvPr id="187" name="Textfeld 67">
              <a:extLst>
                <a:ext uri="{FF2B5EF4-FFF2-40B4-BE49-F238E27FC236}">
                  <a16:creationId xmlns:a16="http://schemas.microsoft.com/office/drawing/2014/main" id="{B72FFA34-D360-41B5-BD97-0BC1AF2E4E2A}"/>
                </a:ext>
              </a:extLst>
            </xdr:cNvPr>
            <xdr:cNvSpPr txBox="1"/>
          </xdr:nvSpPr>
          <xdr:spPr>
            <a:xfrm rot="16200000">
              <a:off x="7103664" y="33951649"/>
              <a:ext cx="744995" cy="236506"/>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sp macro="" textlink="Text!C556">
          <xdr:nvSpPr>
            <xdr:cNvPr id="257" name="Textfeld 67">
              <a:extLst>
                <a:ext uri="{FF2B5EF4-FFF2-40B4-BE49-F238E27FC236}">
                  <a16:creationId xmlns:a16="http://schemas.microsoft.com/office/drawing/2014/main" id="{292886D2-769B-4C34-BC81-1507819C2E7E}"/>
                </a:ext>
              </a:extLst>
            </xdr:cNvPr>
            <xdr:cNvSpPr txBox="1"/>
          </xdr:nvSpPr>
          <xdr:spPr>
            <a:xfrm rot="16200000">
              <a:off x="6067978" y="33664038"/>
              <a:ext cx="744995" cy="800809"/>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sp macro="" textlink="Text!C557">
          <xdr:nvSpPr>
            <xdr:cNvPr id="190" name="Textfeld 67">
              <a:extLst>
                <a:ext uri="{FF2B5EF4-FFF2-40B4-BE49-F238E27FC236}">
                  <a16:creationId xmlns:a16="http://schemas.microsoft.com/office/drawing/2014/main" id="{BF0CE3BF-0C26-4209-9077-631F2E36A61A}"/>
                </a:ext>
              </a:extLst>
            </xdr:cNvPr>
            <xdr:cNvSpPr txBox="1"/>
          </xdr:nvSpPr>
          <xdr:spPr>
            <a:xfrm rot="16200000">
              <a:off x="6558259" y="33955967"/>
              <a:ext cx="742555"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xnSp macro="">
          <xdr:nvCxnSpPr>
            <xdr:cNvPr id="191" name="Connecteur droit 74">
              <a:extLst>
                <a:ext uri="{FF2B5EF4-FFF2-40B4-BE49-F238E27FC236}">
                  <a16:creationId xmlns:a16="http://schemas.microsoft.com/office/drawing/2014/main" id="{FA826837-768D-4931-8F8E-4AA588096FEF}"/>
                </a:ext>
              </a:extLst>
            </xdr:cNvPr>
            <xdr:cNvCxnSpPr/>
          </xdr:nvCxnSpPr>
          <xdr:spPr>
            <a:xfrm flipV="1">
              <a:off x="7046425"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193" name="Connecteur droit 78">
              <a:extLst>
                <a:ext uri="{FF2B5EF4-FFF2-40B4-BE49-F238E27FC236}">
                  <a16:creationId xmlns:a16="http://schemas.microsoft.com/office/drawing/2014/main" id="{6BFE150B-230C-43FF-B7DE-7A80E2F7D89F}"/>
                </a:ext>
              </a:extLst>
            </xdr:cNvPr>
            <xdr:cNvCxnSpPr/>
          </xdr:nvCxnSpPr>
          <xdr:spPr>
            <a:xfrm flipV="1">
              <a:off x="75996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272" name="Connecteur droit 78">
              <a:extLst>
                <a:ext uri="{FF2B5EF4-FFF2-40B4-BE49-F238E27FC236}">
                  <a16:creationId xmlns:a16="http://schemas.microsoft.com/office/drawing/2014/main" id="{03D79832-A34E-20CB-43AD-5187C0EDD590}"/>
                </a:ext>
              </a:extLst>
            </xdr:cNvPr>
            <xdr:cNvCxnSpPr/>
          </xdr:nvCxnSpPr>
          <xdr:spPr>
            <a:xfrm flipV="1">
              <a:off x="73583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274" name="Connecteur droit 78">
              <a:extLst>
                <a:ext uri="{FF2B5EF4-FFF2-40B4-BE49-F238E27FC236}">
                  <a16:creationId xmlns:a16="http://schemas.microsoft.com/office/drawing/2014/main" id="{B7DD0650-EF95-6F8F-4195-86FAD021EB3B}"/>
                </a:ext>
              </a:extLst>
            </xdr:cNvPr>
            <xdr:cNvCxnSpPr/>
          </xdr:nvCxnSpPr>
          <xdr:spPr>
            <a:xfrm flipV="1">
              <a:off x="68122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276" name="Connecteur droit 78">
              <a:extLst>
                <a:ext uri="{FF2B5EF4-FFF2-40B4-BE49-F238E27FC236}">
                  <a16:creationId xmlns:a16="http://schemas.microsoft.com/office/drawing/2014/main" id="{B68EBF2B-B9EC-3F09-6ED8-9D382A1EFD6F}"/>
                </a:ext>
              </a:extLst>
            </xdr:cNvPr>
            <xdr:cNvCxnSpPr/>
          </xdr:nvCxnSpPr>
          <xdr:spPr>
            <a:xfrm flipV="1">
              <a:off x="603119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grpSp>
      <xdr:sp macro="" textlink="">
        <xdr:nvSpPr>
          <xdr:cNvPr id="194" name="ZoneTexte 57">
            <a:extLst>
              <a:ext uri="{FF2B5EF4-FFF2-40B4-BE49-F238E27FC236}">
                <a16:creationId xmlns:a16="http://schemas.microsoft.com/office/drawing/2014/main" id="{AA6DBB98-80AE-4902-96F6-99A0106B1164}"/>
              </a:ext>
            </a:extLst>
          </xdr:cNvPr>
          <xdr:cNvSpPr txBox="1"/>
        </xdr:nvSpPr>
        <xdr:spPr>
          <a:xfrm>
            <a:off x="5922870" y="33579573"/>
            <a:ext cx="387626"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0</a:t>
            </a:r>
          </a:p>
        </xdr:txBody>
      </xdr:sp>
      <xdr:sp macro="" textlink="">
        <xdr:nvSpPr>
          <xdr:cNvPr id="195" name="ZoneTexte 98">
            <a:extLst>
              <a:ext uri="{FF2B5EF4-FFF2-40B4-BE49-F238E27FC236}">
                <a16:creationId xmlns:a16="http://schemas.microsoft.com/office/drawing/2014/main" id="{C6194500-DC0B-4D10-8731-178C6FFC612B}"/>
              </a:ext>
            </a:extLst>
          </xdr:cNvPr>
          <xdr:cNvSpPr txBox="1"/>
        </xdr:nvSpPr>
        <xdr:spPr>
          <a:xfrm>
            <a:off x="6679007" y="3357957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sp macro="" textlink="">
        <xdr:nvSpPr>
          <xdr:cNvPr id="196" name="ZoneTexte 99">
            <a:extLst>
              <a:ext uri="{FF2B5EF4-FFF2-40B4-BE49-F238E27FC236}">
                <a16:creationId xmlns:a16="http://schemas.microsoft.com/office/drawing/2014/main" id="{8BF8EFD2-F247-41C3-982D-89C12637D1FF}"/>
              </a:ext>
            </a:extLst>
          </xdr:cNvPr>
          <xdr:cNvSpPr txBox="1"/>
        </xdr:nvSpPr>
        <xdr:spPr>
          <a:xfrm>
            <a:off x="6925084" y="3357957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sp macro="" textlink="">
        <xdr:nvSpPr>
          <xdr:cNvPr id="197" name="ZoneTexte 100">
            <a:extLst>
              <a:ext uri="{FF2B5EF4-FFF2-40B4-BE49-F238E27FC236}">
                <a16:creationId xmlns:a16="http://schemas.microsoft.com/office/drawing/2014/main" id="{5C6377E8-5BBD-4D8E-BF6F-412AAE28E7D3}"/>
              </a:ext>
            </a:extLst>
          </xdr:cNvPr>
          <xdr:cNvSpPr txBox="1"/>
        </xdr:nvSpPr>
        <xdr:spPr>
          <a:xfrm>
            <a:off x="7227213" y="33579573"/>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sp macro="" textlink="">
        <xdr:nvSpPr>
          <xdr:cNvPr id="199" name="ZoneTexte 103">
            <a:extLst>
              <a:ext uri="{FF2B5EF4-FFF2-40B4-BE49-F238E27FC236}">
                <a16:creationId xmlns:a16="http://schemas.microsoft.com/office/drawing/2014/main" id="{070F2AC9-B44B-4054-A53D-C9C3BD873E7C}"/>
              </a:ext>
            </a:extLst>
          </xdr:cNvPr>
          <xdr:cNvSpPr txBox="1"/>
        </xdr:nvSpPr>
        <xdr:spPr>
          <a:xfrm>
            <a:off x="7715551" y="33579573"/>
            <a:ext cx="348473"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a:t>
            </a:r>
          </a:p>
        </xdr:txBody>
      </xdr:sp>
      <xdr:sp macro="" textlink="">
        <xdr:nvSpPr>
          <xdr:cNvPr id="202" name="ZoneTexte 101">
            <a:extLst>
              <a:ext uri="{FF2B5EF4-FFF2-40B4-BE49-F238E27FC236}">
                <a16:creationId xmlns:a16="http://schemas.microsoft.com/office/drawing/2014/main" id="{648D920E-4E85-47B3-A3E0-949434D06FA2}"/>
              </a:ext>
            </a:extLst>
          </xdr:cNvPr>
          <xdr:cNvSpPr txBox="1"/>
        </xdr:nvSpPr>
        <xdr:spPr>
          <a:xfrm>
            <a:off x="7431161" y="33579573"/>
            <a:ext cx="450629"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grpSp>
    <xdr:clientData/>
  </xdr:twoCellAnchor>
  <xdr:twoCellAnchor>
    <xdr:from>
      <xdr:col>17</xdr:col>
      <xdr:colOff>641108</xdr:colOff>
      <xdr:row>102</xdr:row>
      <xdr:rowOff>159425</xdr:rowOff>
    </xdr:from>
    <xdr:to>
      <xdr:col>17</xdr:col>
      <xdr:colOff>965334</xdr:colOff>
      <xdr:row>111</xdr:row>
      <xdr:rowOff>278</xdr:rowOff>
    </xdr:to>
    <xdr:sp macro="" textlink="Text!C558">
      <xdr:nvSpPr>
        <xdr:cNvPr id="260" name="Textfeld 67">
          <a:extLst>
            <a:ext uri="{FF2B5EF4-FFF2-40B4-BE49-F238E27FC236}">
              <a16:creationId xmlns:a16="http://schemas.microsoft.com/office/drawing/2014/main" id="{CAEDEC97-E18A-ED3A-F08E-B8158D4B068C}"/>
            </a:ext>
          </a:extLst>
        </xdr:cNvPr>
        <xdr:cNvSpPr txBox="1"/>
      </xdr:nvSpPr>
      <xdr:spPr>
        <a:xfrm rot="16200000">
          <a:off x="8649502" y="22793066"/>
          <a:ext cx="747370" cy="324226"/>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14</xdr:col>
      <xdr:colOff>610044</xdr:colOff>
      <xdr:row>102</xdr:row>
      <xdr:rowOff>156705</xdr:rowOff>
    </xdr:from>
    <xdr:to>
      <xdr:col>16</xdr:col>
      <xdr:colOff>10733</xdr:colOff>
      <xdr:row>110</xdr:row>
      <xdr:rowOff>126999</xdr:rowOff>
    </xdr:to>
    <xdr:sp macro="" textlink="Text!C556">
      <xdr:nvSpPr>
        <xdr:cNvPr id="146" name="Textfeld 67">
          <a:extLst>
            <a:ext uri="{FF2B5EF4-FFF2-40B4-BE49-F238E27FC236}">
              <a16:creationId xmlns:a16="http://schemas.microsoft.com/office/drawing/2014/main" id="{14E33723-B14A-70FA-3DA9-51D9444B11AD}"/>
            </a:ext>
          </a:extLst>
        </xdr:cNvPr>
        <xdr:cNvSpPr txBox="1"/>
      </xdr:nvSpPr>
      <xdr:spPr>
        <a:xfrm rot="16200000">
          <a:off x="7075948" y="22550456"/>
          <a:ext cx="749811" cy="806448"/>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clientData/>
  </xdr:twoCellAnchor>
  <xdr:twoCellAnchor>
    <xdr:from>
      <xdr:col>16</xdr:col>
      <xdr:colOff>7</xdr:colOff>
      <xdr:row>102</xdr:row>
      <xdr:rowOff>156705</xdr:rowOff>
    </xdr:from>
    <xdr:to>
      <xdr:col>17</xdr:col>
      <xdr:colOff>430929</xdr:colOff>
      <xdr:row>110</xdr:row>
      <xdr:rowOff>126999</xdr:rowOff>
    </xdr:to>
    <xdr:sp macro="" textlink="Text!C556">
      <xdr:nvSpPr>
        <xdr:cNvPr id="128" name="Textfeld 67">
          <a:extLst>
            <a:ext uri="{FF2B5EF4-FFF2-40B4-BE49-F238E27FC236}">
              <a16:creationId xmlns:a16="http://schemas.microsoft.com/office/drawing/2014/main" id="{0BAAE446-DBDE-4859-B70F-3F7D51F18B73}"/>
            </a:ext>
          </a:extLst>
        </xdr:cNvPr>
        <xdr:cNvSpPr txBox="1"/>
      </xdr:nvSpPr>
      <xdr:spPr>
        <a:xfrm rot="16200000">
          <a:off x="8154016" y="29881826"/>
          <a:ext cx="754381" cy="806400"/>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clientData/>
  </xdr:twoCellAnchor>
  <xdr:twoCellAnchor>
    <xdr:from>
      <xdr:col>14</xdr:col>
      <xdr:colOff>72800</xdr:colOff>
      <xdr:row>102</xdr:row>
      <xdr:rowOff>159425</xdr:rowOff>
    </xdr:from>
    <xdr:to>
      <xdr:col>14</xdr:col>
      <xdr:colOff>398711</xdr:colOff>
      <xdr:row>111</xdr:row>
      <xdr:rowOff>278</xdr:rowOff>
    </xdr:to>
    <xdr:sp macro="" textlink="Text!C558">
      <xdr:nvSpPr>
        <xdr:cNvPr id="152" name="Textfeld 67">
          <a:extLst>
            <a:ext uri="{FF2B5EF4-FFF2-40B4-BE49-F238E27FC236}">
              <a16:creationId xmlns:a16="http://schemas.microsoft.com/office/drawing/2014/main" id="{C75C0873-0BF0-770C-A628-B9024FC2C1F7}"/>
            </a:ext>
          </a:extLst>
        </xdr:cNvPr>
        <xdr:cNvSpPr txBox="1"/>
      </xdr:nvSpPr>
      <xdr:spPr>
        <a:xfrm rot="16200000">
          <a:off x="6299657" y="22792223"/>
          <a:ext cx="747370"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13</xdr:col>
      <xdr:colOff>180022</xdr:colOff>
      <xdr:row>102</xdr:row>
      <xdr:rowOff>147946</xdr:rowOff>
    </xdr:from>
    <xdr:to>
      <xdr:col>14</xdr:col>
      <xdr:colOff>41878</xdr:colOff>
      <xdr:row>110</xdr:row>
      <xdr:rowOff>118241</xdr:rowOff>
    </xdr:to>
    <xdr:sp macro="" textlink="Text!C559">
      <xdr:nvSpPr>
        <xdr:cNvPr id="157" name="Textfeld 67">
          <a:extLst>
            <a:ext uri="{FF2B5EF4-FFF2-40B4-BE49-F238E27FC236}">
              <a16:creationId xmlns:a16="http://schemas.microsoft.com/office/drawing/2014/main" id="{D986039A-AF8B-8A1A-DE37-57F1BA9620FA}"/>
            </a:ext>
          </a:extLst>
        </xdr:cNvPr>
        <xdr:cNvSpPr txBox="1"/>
      </xdr:nvSpPr>
      <xdr:spPr>
        <a:xfrm rot="16200000">
          <a:off x="6026923" y="22867286"/>
          <a:ext cx="749812" cy="155270"/>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editAs="oneCell">
    <xdr:from>
      <xdr:col>17</xdr:col>
      <xdr:colOff>1208315</xdr:colOff>
      <xdr:row>7</xdr:row>
      <xdr:rowOff>21771</xdr:rowOff>
    </xdr:from>
    <xdr:to>
      <xdr:col>30</xdr:col>
      <xdr:colOff>335644</xdr:colOff>
      <xdr:row>9</xdr:row>
      <xdr:rowOff>89646</xdr:rowOff>
    </xdr:to>
    <xdr:pic>
      <xdr:nvPicPr>
        <xdr:cNvPr id="37" name="LogoFrPK" hidden="1">
          <a:extLst>
            <a:ext uri="{FF2B5EF4-FFF2-40B4-BE49-F238E27FC236}">
              <a16:creationId xmlns:a16="http://schemas.microsoft.com/office/drawing/2014/main" id="{880E1FF3-CEEE-4164-AC8F-B3019C1AD0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285515" y="1393371"/>
          <a:ext cx="5083628" cy="845832"/>
        </a:xfrm>
        <a:prstGeom prst="rect">
          <a:avLst/>
        </a:prstGeom>
      </xdr:spPr>
    </xdr:pic>
    <xdr:clientData/>
  </xdr:twoCellAnchor>
  <xdr:twoCellAnchor editAs="oneCell">
    <xdr:from>
      <xdr:col>17</xdr:col>
      <xdr:colOff>1211580</xdr:colOff>
      <xdr:row>7</xdr:row>
      <xdr:rowOff>22860</xdr:rowOff>
    </xdr:from>
    <xdr:to>
      <xdr:col>23</xdr:col>
      <xdr:colOff>25840</xdr:colOff>
      <xdr:row>9</xdr:row>
      <xdr:rowOff>46949</xdr:rowOff>
    </xdr:to>
    <xdr:pic>
      <xdr:nvPicPr>
        <xdr:cNvPr id="19" name="LogoFr" hidden="1">
          <a:extLst>
            <a:ext uri="{FF2B5EF4-FFF2-40B4-BE49-F238E27FC236}">
              <a16:creationId xmlns:a16="http://schemas.microsoft.com/office/drawing/2014/main" id="{6A18B3DB-5926-852B-D84A-AC303E35D7E3}"/>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288780" y="1394460"/>
          <a:ext cx="1994701" cy="802046"/>
        </a:xfrm>
        <a:prstGeom prst="rect">
          <a:avLst/>
        </a:prstGeom>
      </xdr:spPr>
    </xdr:pic>
    <xdr:clientData/>
  </xdr:twoCellAnchor>
  <xdr:twoCellAnchor editAs="oneCell">
    <xdr:from>
      <xdr:col>17</xdr:col>
      <xdr:colOff>1220235</xdr:colOff>
      <xdr:row>7</xdr:row>
      <xdr:rowOff>24762</xdr:rowOff>
    </xdr:from>
    <xdr:to>
      <xdr:col>28</xdr:col>
      <xdr:colOff>241299</xdr:colOff>
      <xdr:row>9</xdr:row>
      <xdr:rowOff>38805</xdr:rowOff>
    </xdr:to>
    <xdr:pic>
      <xdr:nvPicPr>
        <xdr:cNvPr id="22" name="LogoDePK" hidden="1">
          <a:extLst>
            <a:ext uri="{FF2B5EF4-FFF2-40B4-BE49-F238E27FC236}">
              <a16:creationId xmlns:a16="http://schemas.microsoft.com/office/drawing/2014/main" id="{003C32ED-4B4C-8964-E050-45176024D919}"/>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297435" y="1396362"/>
          <a:ext cx="4233507" cy="792000"/>
        </a:xfrm>
        <a:prstGeom prst="rect">
          <a:avLst/>
        </a:prstGeom>
      </xdr:spPr>
    </xdr:pic>
    <xdr:clientData/>
  </xdr:twoCellAnchor>
  <xdr:twoCellAnchor editAs="oneCell">
    <xdr:from>
      <xdr:col>17</xdr:col>
      <xdr:colOff>1219200</xdr:colOff>
      <xdr:row>7</xdr:row>
      <xdr:rowOff>22860</xdr:rowOff>
    </xdr:from>
    <xdr:to>
      <xdr:col>23</xdr:col>
      <xdr:colOff>15245</xdr:colOff>
      <xdr:row>9</xdr:row>
      <xdr:rowOff>46949</xdr:rowOff>
    </xdr:to>
    <xdr:pic>
      <xdr:nvPicPr>
        <xdr:cNvPr id="17" name="LogoDe" hidden="1">
          <a:extLst>
            <a:ext uri="{FF2B5EF4-FFF2-40B4-BE49-F238E27FC236}">
              <a16:creationId xmlns:a16="http://schemas.microsoft.com/office/drawing/2014/main" id="{A2D81C53-EE91-A674-F4F0-AABBC76BEE57}"/>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296400" y="1394460"/>
          <a:ext cx="1976486" cy="802046"/>
        </a:xfrm>
        <a:prstGeom prst="rect">
          <a:avLst/>
        </a:prstGeom>
      </xdr:spPr>
    </xdr:pic>
    <xdr:clientData/>
  </xdr:twoCellAnchor>
  <xdr:twoCellAnchor editAs="oneCell">
    <xdr:from>
      <xdr:col>17</xdr:col>
      <xdr:colOff>1221924</xdr:colOff>
      <xdr:row>7</xdr:row>
      <xdr:rowOff>32657</xdr:rowOff>
    </xdr:from>
    <xdr:to>
      <xdr:col>23</xdr:col>
      <xdr:colOff>117931</xdr:colOff>
      <xdr:row>9</xdr:row>
      <xdr:rowOff>39500</xdr:rowOff>
    </xdr:to>
    <xdr:pic>
      <xdr:nvPicPr>
        <xdr:cNvPr id="26" name="LogoDeK" hidden="1">
          <a:extLst>
            <a:ext uri="{FF2B5EF4-FFF2-40B4-BE49-F238E27FC236}">
              <a16:creationId xmlns:a16="http://schemas.microsoft.com/office/drawing/2014/main" id="{C0565506-A82F-5233-8768-3FAD8A1FF40C}"/>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299124" y="1404257"/>
          <a:ext cx="2076448" cy="784800"/>
        </a:xfrm>
        <a:prstGeom prst="rect">
          <a:avLst/>
        </a:prstGeom>
      </xdr:spPr>
    </xdr:pic>
    <xdr:clientData/>
  </xdr:twoCellAnchor>
  <xdr:twoCellAnchor>
    <xdr:from>
      <xdr:col>3</xdr:col>
      <xdr:colOff>1116926</xdr:colOff>
      <xdr:row>102</xdr:row>
      <xdr:rowOff>26173</xdr:rowOff>
    </xdr:from>
    <xdr:to>
      <xdr:col>3</xdr:col>
      <xdr:colOff>1353594</xdr:colOff>
      <xdr:row>103</xdr:row>
      <xdr:rowOff>28068</xdr:rowOff>
    </xdr:to>
    <xdr:sp macro="" textlink="">
      <xdr:nvSpPr>
        <xdr:cNvPr id="81" name="ZoneTexte 100">
          <a:extLst>
            <a:ext uri="{FF2B5EF4-FFF2-40B4-BE49-F238E27FC236}">
              <a16:creationId xmlns:a16="http://schemas.microsoft.com/office/drawing/2014/main" id="{251D75F8-2DB7-4279-B403-E565AA2B1C4E}"/>
            </a:ext>
          </a:extLst>
        </xdr:cNvPr>
        <xdr:cNvSpPr txBox="1"/>
      </xdr:nvSpPr>
      <xdr:spPr>
        <a:xfrm>
          <a:off x="1706569" y="11057030"/>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429822</xdr:colOff>
      <xdr:row>102</xdr:row>
      <xdr:rowOff>156702</xdr:rowOff>
    </xdr:from>
    <xdr:to>
      <xdr:col>17</xdr:col>
      <xdr:colOff>667947</xdr:colOff>
      <xdr:row>110</xdr:row>
      <xdr:rowOff>124557</xdr:rowOff>
    </xdr:to>
    <xdr:sp macro="" textlink="Text!X660">
      <xdr:nvSpPr>
        <xdr:cNvPr id="129" name="Textfeld 67">
          <a:extLst>
            <a:ext uri="{FF2B5EF4-FFF2-40B4-BE49-F238E27FC236}">
              <a16:creationId xmlns:a16="http://schemas.microsoft.com/office/drawing/2014/main" id="{83483982-2D3A-46FF-97C5-EFEB61A28AEB}"/>
            </a:ext>
          </a:extLst>
        </xdr:cNvPr>
        <xdr:cNvSpPr txBox="1"/>
      </xdr:nvSpPr>
      <xdr:spPr>
        <a:xfrm rot="16200000">
          <a:off x="8661207" y="30031667"/>
          <a:ext cx="742555"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 </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954397</xdr:colOff>
      <xdr:row>103</xdr:row>
      <xdr:rowOff>2</xdr:rowOff>
    </xdr:from>
    <xdr:to>
      <xdr:col>17</xdr:col>
      <xdr:colOff>954397</xdr:colOff>
      <xdr:row>111</xdr:row>
      <xdr:rowOff>0</xdr:rowOff>
    </xdr:to>
    <xdr:cxnSp macro="">
      <xdr:nvCxnSpPr>
        <xdr:cNvPr id="132" name="Connecteur droit 76">
          <a:extLst>
            <a:ext uri="{FF2B5EF4-FFF2-40B4-BE49-F238E27FC236}">
              <a16:creationId xmlns:a16="http://schemas.microsoft.com/office/drawing/2014/main" id="{3ABC0A6F-E3AE-4367-BE47-3B2EE197FFC8}"/>
            </a:ext>
          </a:extLst>
        </xdr:cNvPr>
        <xdr:cNvCxnSpPr/>
      </xdr:nvCxnSpPr>
      <xdr:spPr>
        <a:xfrm flipV="1">
          <a:off x="9174363" y="22676071"/>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1314524</xdr:colOff>
      <xdr:row>102</xdr:row>
      <xdr:rowOff>26173</xdr:rowOff>
    </xdr:from>
    <xdr:to>
      <xdr:col>17</xdr:col>
      <xdr:colOff>1654028</xdr:colOff>
      <xdr:row>103</xdr:row>
      <xdr:rowOff>28068</xdr:rowOff>
    </xdr:to>
    <xdr:sp macro="" textlink="">
      <xdr:nvSpPr>
        <xdr:cNvPr id="138" name="ZoneTexte 101">
          <a:extLst>
            <a:ext uri="{FF2B5EF4-FFF2-40B4-BE49-F238E27FC236}">
              <a16:creationId xmlns:a16="http://schemas.microsoft.com/office/drawing/2014/main" id="{0321E7E4-47E4-4690-BCC0-BBE69089E46A}"/>
            </a:ext>
          </a:extLst>
        </xdr:cNvPr>
        <xdr:cNvSpPr txBox="1"/>
      </xdr:nvSpPr>
      <xdr:spPr>
        <a:xfrm>
          <a:off x="1904167" y="29707887"/>
          <a:ext cx="33950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18</xdr:col>
      <xdr:colOff>13001</xdr:colOff>
      <xdr:row>102</xdr:row>
      <xdr:rowOff>26173</xdr:rowOff>
    </xdr:from>
    <xdr:to>
      <xdr:col>20</xdr:col>
      <xdr:colOff>140812</xdr:colOff>
      <xdr:row>103</xdr:row>
      <xdr:rowOff>28068</xdr:rowOff>
    </xdr:to>
    <xdr:sp macro="" textlink="">
      <xdr:nvSpPr>
        <xdr:cNvPr id="141" name="ZoneTexte 103">
          <a:extLst>
            <a:ext uri="{FF2B5EF4-FFF2-40B4-BE49-F238E27FC236}">
              <a16:creationId xmlns:a16="http://schemas.microsoft.com/office/drawing/2014/main" id="{43FAEF23-B01E-D255-BE55-39DBBCEA028F}"/>
            </a:ext>
          </a:extLst>
        </xdr:cNvPr>
        <xdr:cNvSpPr txBox="1"/>
      </xdr:nvSpPr>
      <xdr:spPr>
        <a:xfrm>
          <a:off x="9792001" y="24441923"/>
          <a:ext cx="235761"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a:t>
          </a:r>
        </a:p>
      </xdr:txBody>
    </xdr:sp>
    <xdr:clientData/>
  </xdr:twoCellAnchor>
  <xdr:twoCellAnchor>
    <xdr:from>
      <xdr:col>17</xdr:col>
      <xdr:colOff>405492</xdr:colOff>
      <xdr:row>103</xdr:row>
      <xdr:rowOff>2</xdr:rowOff>
    </xdr:from>
    <xdr:to>
      <xdr:col>17</xdr:col>
      <xdr:colOff>405492</xdr:colOff>
      <xdr:row>111</xdr:row>
      <xdr:rowOff>0</xdr:rowOff>
    </xdr:to>
    <xdr:cxnSp macro="">
      <xdr:nvCxnSpPr>
        <xdr:cNvPr id="142" name="Connecteur droit 74">
          <a:extLst>
            <a:ext uri="{FF2B5EF4-FFF2-40B4-BE49-F238E27FC236}">
              <a16:creationId xmlns:a16="http://schemas.microsoft.com/office/drawing/2014/main" id="{6D8A2C8C-49B1-F415-A19E-19378030A9F1}"/>
            </a:ext>
          </a:extLst>
        </xdr:cNvPr>
        <xdr:cNvCxnSpPr/>
      </xdr:nvCxnSpPr>
      <xdr:spPr>
        <a:xfrm flipV="1">
          <a:off x="8625458" y="22676071"/>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105508</xdr:colOff>
      <xdr:row>103</xdr:row>
      <xdr:rowOff>4381</xdr:rowOff>
    </xdr:from>
    <xdr:to>
      <xdr:col>15</xdr:col>
      <xdr:colOff>105508</xdr:colOff>
      <xdr:row>111</xdr:row>
      <xdr:rowOff>4379</xdr:rowOff>
    </xdr:to>
    <xdr:cxnSp macro="">
      <xdr:nvCxnSpPr>
        <xdr:cNvPr id="143" name="Connecteur droit 74">
          <a:extLst>
            <a:ext uri="{FF2B5EF4-FFF2-40B4-BE49-F238E27FC236}">
              <a16:creationId xmlns:a16="http://schemas.microsoft.com/office/drawing/2014/main" id="{DFEE325F-8572-27CD-A72E-6C63281DBD6C}"/>
            </a:ext>
          </a:extLst>
        </xdr:cNvPr>
        <xdr:cNvCxnSpPr/>
      </xdr:nvCxnSpPr>
      <xdr:spPr>
        <a:xfrm flipV="1">
          <a:off x="7839370" y="22680450"/>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588108</xdr:colOff>
      <xdr:row>103</xdr:row>
      <xdr:rowOff>2</xdr:rowOff>
    </xdr:from>
    <xdr:to>
      <xdr:col>14</xdr:col>
      <xdr:colOff>588108</xdr:colOff>
      <xdr:row>111</xdr:row>
      <xdr:rowOff>0</xdr:rowOff>
    </xdr:to>
    <xdr:cxnSp macro="">
      <xdr:nvCxnSpPr>
        <xdr:cNvPr id="148" name="Connecteur droit 74">
          <a:extLst>
            <a:ext uri="{FF2B5EF4-FFF2-40B4-BE49-F238E27FC236}">
              <a16:creationId xmlns:a16="http://schemas.microsoft.com/office/drawing/2014/main" id="{C3AEFE69-805B-2A8A-6F36-944EE54F7EC3}"/>
            </a:ext>
          </a:extLst>
        </xdr:cNvPr>
        <xdr:cNvCxnSpPr/>
      </xdr:nvCxnSpPr>
      <xdr:spPr>
        <a:xfrm flipV="1">
          <a:off x="7293708" y="2466975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388657</xdr:colOff>
      <xdr:row>102</xdr:row>
      <xdr:rowOff>156702</xdr:rowOff>
    </xdr:from>
    <xdr:to>
      <xdr:col>14</xdr:col>
      <xdr:colOff>626782</xdr:colOff>
      <xdr:row>110</xdr:row>
      <xdr:rowOff>124557</xdr:rowOff>
    </xdr:to>
    <xdr:sp macro="" textlink="Text!C557">
      <xdr:nvSpPr>
        <xdr:cNvPr id="149" name="Textfeld 67">
          <a:extLst>
            <a:ext uri="{FF2B5EF4-FFF2-40B4-BE49-F238E27FC236}">
              <a16:creationId xmlns:a16="http://schemas.microsoft.com/office/drawing/2014/main" id="{7261B8F2-24D4-A629-8ED7-D4CA5D1379F5}"/>
            </a:ext>
          </a:extLst>
        </xdr:cNvPr>
        <xdr:cNvSpPr txBox="1"/>
      </xdr:nvSpPr>
      <xdr:spPr>
        <a:xfrm rot="16200000">
          <a:off x="6571620" y="22833394"/>
          <a:ext cx="747372"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14</xdr:col>
      <xdr:colOff>487046</xdr:colOff>
      <xdr:row>102</xdr:row>
      <xdr:rowOff>26173</xdr:rowOff>
    </xdr:from>
    <xdr:to>
      <xdr:col>14</xdr:col>
      <xdr:colOff>723714</xdr:colOff>
      <xdr:row>103</xdr:row>
      <xdr:rowOff>28068</xdr:rowOff>
    </xdr:to>
    <xdr:sp macro="" textlink="">
      <xdr:nvSpPr>
        <xdr:cNvPr id="147" name="ZoneTexte 98">
          <a:extLst>
            <a:ext uri="{FF2B5EF4-FFF2-40B4-BE49-F238E27FC236}">
              <a16:creationId xmlns:a16="http://schemas.microsoft.com/office/drawing/2014/main" id="{1E52E9AC-3C50-0C5A-3275-DC98C2D2E8C3}"/>
            </a:ext>
          </a:extLst>
        </xdr:cNvPr>
        <xdr:cNvSpPr txBox="1"/>
      </xdr:nvSpPr>
      <xdr:spPr>
        <a:xfrm>
          <a:off x="6924632" y="22448242"/>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14</xdr:col>
      <xdr:colOff>390601</xdr:colOff>
      <xdr:row>103</xdr:row>
      <xdr:rowOff>26278</xdr:rowOff>
    </xdr:from>
    <xdr:to>
      <xdr:col>14</xdr:col>
      <xdr:colOff>390601</xdr:colOff>
      <xdr:row>111</xdr:row>
      <xdr:rowOff>26276</xdr:rowOff>
    </xdr:to>
    <xdr:cxnSp macro="">
      <xdr:nvCxnSpPr>
        <xdr:cNvPr id="150" name="Connecteur droit 74">
          <a:extLst>
            <a:ext uri="{FF2B5EF4-FFF2-40B4-BE49-F238E27FC236}">
              <a16:creationId xmlns:a16="http://schemas.microsoft.com/office/drawing/2014/main" id="{A4A2D7F4-2FE1-8C4D-B53A-BA5FA4001B03}"/>
            </a:ext>
          </a:extLst>
        </xdr:cNvPr>
        <xdr:cNvCxnSpPr/>
      </xdr:nvCxnSpPr>
      <xdr:spPr>
        <a:xfrm flipV="1">
          <a:off x="6828187" y="22702347"/>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266070</xdr:colOff>
      <xdr:row>102</xdr:row>
      <xdr:rowOff>26173</xdr:rowOff>
    </xdr:from>
    <xdr:to>
      <xdr:col>14</xdr:col>
      <xdr:colOff>502738</xdr:colOff>
      <xdr:row>103</xdr:row>
      <xdr:rowOff>28068</xdr:rowOff>
    </xdr:to>
    <xdr:sp macro="" textlink="">
      <xdr:nvSpPr>
        <xdr:cNvPr id="151" name="ZoneTexte 99">
          <a:extLst>
            <a:ext uri="{FF2B5EF4-FFF2-40B4-BE49-F238E27FC236}">
              <a16:creationId xmlns:a16="http://schemas.microsoft.com/office/drawing/2014/main" id="{58C4A563-49D3-7C4D-BA69-34EDE5FC0F96}"/>
            </a:ext>
          </a:extLst>
        </xdr:cNvPr>
        <xdr:cNvSpPr txBox="1"/>
      </xdr:nvSpPr>
      <xdr:spPr>
        <a:xfrm>
          <a:off x="6703656" y="22448242"/>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14</xdr:col>
      <xdr:colOff>77791</xdr:colOff>
      <xdr:row>103</xdr:row>
      <xdr:rowOff>30657</xdr:rowOff>
    </xdr:from>
    <xdr:to>
      <xdr:col>14</xdr:col>
      <xdr:colOff>77791</xdr:colOff>
      <xdr:row>111</xdr:row>
      <xdr:rowOff>30655</xdr:rowOff>
    </xdr:to>
    <xdr:cxnSp macro="">
      <xdr:nvCxnSpPr>
        <xdr:cNvPr id="153" name="Connecteur droit 76">
          <a:extLst>
            <a:ext uri="{FF2B5EF4-FFF2-40B4-BE49-F238E27FC236}">
              <a16:creationId xmlns:a16="http://schemas.microsoft.com/office/drawing/2014/main" id="{828D1366-9308-4071-776A-5F2C6BEBE3F5}"/>
            </a:ext>
          </a:extLst>
        </xdr:cNvPr>
        <xdr:cNvCxnSpPr/>
      </xdr:nvCxnSpPr>
      <xdr:spPr>
        <a:xfrm flipV="1">
          <a:off x="6515377" y="22706726"/>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39834</xdr:colOff>
      <xdr:row>102</xdr:row>
      <xdr:rowOff>26173</xdr:rowOff>
    </xdr:from>
    <xdr:to>
      <xdr:col>14</xdr:col>
      <xdr:colOff>138116</xdr:colOff>
      <xdr:row>103</xdr:row>
      <xdr:rowOff>28068</xdr:rowOff>
    </xdr:to>
    <xdr:sp macro="" textlink="">
      <xdr:nvSpPr>
        <xdr:cNvPr id="154" name="ZoneTexte 100">
          <a:extLst>
            <a:ext uri="{FF2B5EF4-FFF2-40B4-BE49-F238E27FC236}">
              <a16:creationId xmlns:a16="http://schemas.microsoft.com/office/drawing/2014/main" id="{CF3CC6F8-FD85-28BC-C6E7-DCBC6FDBB242}"/>
            </a:ext>
          </a:extLst>
        </xdr:cNvPr>
        <xdr:cNvSpPr txBox="1"/>
      </xdr:nvSpPr>
      <xdr:spPr>
        <a:xfrm>
          <a:off x="6477420" y="22448242"/>
          <a:ext cx="98282"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fr-CH" sz="700"/>
            <a:t>85</a:t>
          </a:r>
        </a:p>
      </xdr:txBody>
    </xdr:sp>
    <xdr:clientData/>
  </xdr:twoCellAnchor>
  <xdr:twoCellAnchor>
    <xdr:from>
      <xdr:col>13</xdr:col>
      <xdr:colOff>140485</xdr:colOff>
      <xdr:row>103</xdr:row>
      <xdr:rowOff>26278</xdr:rowOff>
    </xdr:from>
    <xdr:to>
      <xdr:col>13</xdr:col>
      <xdr:colOff>140485</xdr:colOff>
      <xdr:row>111</xdr:row>
      <xdr:rowOff>26276</xdr:rowOff>
    </xdr:to>
    <xdr:cxnSp macro="">
      <xdr:nvCxnSpPr>
        <xdr:cNvPr id="155" name="Connecteur droit 78">
          <a:extLst>
            <a:ext uri="{FF2B5EF4-FFF2-40B4-BE49-F238E27FC236}">
              <a16:creationId xmlns:a16="http://schemas.microsoft.com/office/drawing/2014/main" id="{B031FF4E-9561-2878-045B-9EC70FE74C05}"/>
            </a:ext>
          </a:extLst>
        </xdr:cNvPr>
        <xdr:cNvCxnSpPr/>
      </xdr:nvCxnSpPr>
      <xdr:spPr>
        <a:xfrm flipV="1">
          <a:off x="6284657" y="22702347"/>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95324</xdr:colOff>
      <xdr:row>102</xdr:row>
      <xdr:rowOff>26173</xdr:rowOff>
    </xdr:from>
    <xdr:to>
      <xdr:col>13</xdr:col>
      <xdr:colOff>326878</xdr:colOff>
      <xdr:row>103</xdr:row>
      <xdr:rowOff>28068</xdr:rowOff>
    </xdr:to>
    <xdr:sp macro="" textlink="">
      <xdr:nvSpPr>
        <xdr:cNvPr id="156" name="ZoneTexte 101">
          <a:extLst>
            <a:ext uri="{FF2B5EF4-FFF2-40B4-BE49-F238E27FC236}">
              <a16:creationId xmlns:a16="http://schemas.microsoft.com/office/drawing/2014/main" id="{A219C7D8-A38A-0ED0-506C-D705240261F7}"/>
            </a:ext>
          </a:extLst>
        </xdr:cNvPr>
        <xdr:cNvSpPr txBox="1"/>
      </xdr:nvSpPr>
      <xdr:spPr>
        <a:xfrm>
          <a:off x="6318324" y="24441923"/>
          <a:ext cx="33950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5</xdr:col>
      <xdr:colOff>14655</xdr:colOff>
      <xdr:row>116</xdr:row>
      <xdr:rowOff>27387</xdr:rowOff>
    </xdr:from>
    <xdr:to>
      <xdr:col>7</xdr:col>
      <xdr:colOff>615104</xdr:colOff>
      <xdr:row>118</xdr:row>
      <xdr:rowOff>11545</xdr:rowOff>
    </xdr:to>
    <xdr:sp macro="" textlink="Text!AN22">
      <xdr:nvSpPr>
        <xdr:cNvPr id="167" name="Textfeld 67">
          <a:extLst>
            <a:ext uri="{FF2B5EF4-FFF2-40B4-BE49-F238E27FC236}">
              <a16:creationId xmlns:a16="http://schemas.microsoft.com/office/drawing/2014/main" id="{BCEF4AB5-862B-4ED8-ADF3-5479F8D9052C}"/>
            </a:ext>
          </a:extLst>
        </xdr:cNvPr>
        <xdr:cNvSpPr txBox="1"/>
      </xdr:nvSpPr>
      <xdr:spPr>
        <a:xfrm>
          <a:off x="2485382" y="26293296"/>
          <a:ext cx="1073813" cy="157340"/>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196C2A92-0EA3-418F-8851-DDCEB126DA75}" type="TxLink">
            <a:rPr lang="en-US" sz="900" b="1" i="0" u="none" strike="noStrike">
              <a:solidFill>
                <a:srgbClr val="000000"/>
              </a:solidFill>
              <a:latin typeface="Calibri"/>
              <a:ea typeface="Calibri"/>
              <a:cs typeface="Calibri"/>
            </a:rPr>
            <a:pPr algn="l"/>
            <a:t>Kriterium</a:t>
          </a:fld>
          <a:endParaRPr lang="en-US" sz="900" b="0" i="0" u="none" strike="noStrike">
            <a:ea typeface="Verdana" panose="020B0604030504040204" pitchFamily="34" charset="0"/>
            <a:cs typeface="Calibri"/>
          </a:endParaRPr>
        </a:p>
      </xdr:txBody>
    </xdr:sp>
    <xdr:clientData/>
  </xdr:twoCellAnchor>
  <xdr:twoCellAnchor>
    <xdr:from>
      <xdr:col>0</xdr:col>
      <xdr:colOff>24974</xdr:colOff>
      <xdr:row>116</xdr:row>
      <xdr:rowOff>0</xdr:rowOff>
    </xdr:from>
    <xdr:to>
      <xdr:col>3</xdr:col>
      <xdr:colOff>646519</xdr:colOff>
      <xdr:row>117</xdr:row>
      <xdr:rowOff>0</xdr:rowOff>
    </xdr:to>
    <xdr:sp macro="" textlink="Text!AL22">
      <xdr:nvSpPr>
        <xdr:cNvPr id="168" name="Textfeld 67">
          <a:extLst>
            <a:ext uri="{FF2B5EF4-FFF2-40B4-BE49-F238E27FC236}">
              <a16:creationId xmlns:a16="http://schemas.microsoft.com/office/drawing/2014/main" id="{5D8D6CD0-6CCE-4D58-AF8E-41FE80DBFFB1}"/>
            </a:ext>
          </a:extLst>
        </xdr:cNvPr>
        <xdr:cNvSpPr txBox="1"/>
      </xdr:nvSpPr>
      <xdr:spPr>
        <a:xfrm>
          <a:off x="24974" y="26265909"/>
          <a:ext cx="1198818" cy="150091"/>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24</xdr:col>
      <xdr:colOff>758159</xdr:colOff>
      <xdr:row>116</xdr:row>
      <xdr:rowOff>15842</xdr:rowOff>
    </xdr:from>
    <xdr:to>
      <xdr:col>28</xdr:col>
      <xdr:colOff>146335</xdr:colOff>
      <xdr:row>118</xdr:row>
      <xdr:rowOff>0</xdr:rowOff>
    </xdr:to>
    <xdr:sp macro="" textlink="Text!AN22">
      <xdr:nvSpPr>
        <xdr:cNvPr id="218" name="Textfeld 67">
          <a:extLst>
            <a:ext uri="{FF2B5EF4-FFF2-40B4-BE49-F238E27FC236}">
              <a16:creationId xmlns:a16="http://schemas.microsoft.com/office/drawing/2014/main" id="{337F4F09-9656-0F25-A834-BDC2B587697F}"/>
            </a:ext>
          </a:extLst>
        </xdr:cNvPr>
        <xdr:cNvSpPr txBox="1"/>
      </xdr:nvSpPr>
      <xdr:spPr>
        <a:xfrm>
          <a:off x="12603795" y="26281751"/>
          <a:ext cx="1073813" cy="157340"/>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196C2A92-0EA3-418F-8851-DDCEB126DA75}" type="TxLink">
            <a:rPr lang="en-US" sz="900" b="1" i="0" u="none" strike="noStrike">
              <a:solidFill>
                <a:srgbClr val="000000"/>
              </a:solidFill>
              <a:latin typeface="Calibri"/>
              <a:ea typeface="Calibri"/>
              <a:cs typeface="Calibri"/>
            </a:rPr>
            <a:pPr algn="l"/>
            <a:t>Kriterium</a:t>
          </a:fld>
          <a:endParaRPr lang="en-US" sz="900" b="0" i="0" u="none" strike="noStrike">
            <a:ea typeface="Verdana" panose="020B0604030504040204" pitchFamily="34" charset="0"/>
            <a:cs typeface="Calibri"/>
          </a:endParaRPr>
        </a:p>
      </xdr:txBody>
    </xdr:sp>
    <xdr:clientData/>
  </xdr:twoCellAnchor>
  <xdr:twoCellAnchor>
    <xdr:from>
      <xdr:col>31</xdr:col>
      <xdr:colOff>428455</xdr:colOff>
      <xdr:row>116</xdr:row>
      <xdr:rowOff>0</xdr:rowOff>
    </xdr:from>
    <xdr:to>
      <xdr:col>34</xdr:col>
      <xdr:colOff>0</xdr:colOff>
      <xdr:row>117</xdr:row>
      <xdr:rowOff>0</xdr:rowOff>
    </xdr:to>
    <xdr:sp macro="" textlink="Text!AL22">
      <xdr:nvSpPr>
        <xdr:cNvPr id="220" name="Textfeld 67">
          <a:extLst>
            <a:ext uri="{FF2B5EF4-FFF2-40B4-BE49-F238E27FC236}">
              <a16:creationId xmlns:a16="http://schemas.microsoft.com/office/drawing/2014/main" id="{06E61907-5FF4-96DC-0AE7-CF9F25DC6669}"/>
            </a:ext>
          </a:extLst>
        </xdr:cNvPr>
        <xdr:cNvSpPr txBox="1"/>
      </xdr:nvSpPr>
      <xdr:spPr>
        <a:xfrm>
          <a:off x="15068091" y="26265909"/>
          <a:ext cx="576000" cy="150091"/>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3</xdr:col>
      <xdr:colOff>716218</xdr:colOff>
      <xdr:row>59</xdr:row>
      <xdr:rowOff>72705</xdr:rowOff>
    </xdr:from>
    <xdr:to>
      <xdr:col>14</xdr:col>
      <xdr:colOff>157368</xdr:colOff>
      <xdr:row>86</xdr:row>
      <xdr:rowOff>0</xdr:rowOff>
    </xdr:to>
    <xdr:graphicFrame macro="">
      <xdr:nvGraphicFramePr>
        <xdr:cNvPr id="253" name="Diagramm 252">
          <a:extLst>
            <a:ext uri="{FF2B5EF4-FFF2-40B4-BE49-F238E27FC236}">
              <a16:creationId xmlns:a16="http://schemas.microsoft.com/office/drawing/2014/main" id="{7168BEDB-2857-44A9-8B9C-024ABB9B46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14</xdr:col>
      <xdr:colOff>898224</xdr:colOff>
      <xdr:row>59</xdr:row>
      <xdr:rowOff>61408</xdr:rowOff>
    </xdr:from>
    <xdr:to>
      <xdr:col>25</xdr:col>
      <xdr:colOff>63200</xdr:colOff>
      <xdr:row>86</xdr:row>
      <xdr:rowOff>0</xdr:rowOff>
    </xdr:to>
    <xdr:graphicFrame macro="">
      <xdr:nvGraphicFramePr>
        <xdr:cNvPr id="254" name="Diagramm 253">
          <a:extLst>
            <a:ext uri="{FF2B5EF4-FFF2-40B4-BE49-F238E27FC236}">
              <a16:creationId xmlns:a16="http://schemas.microsoft.com/office/drawing/2014/main" id="{F86089A4-86CE-4662-9C1E-3C3516E555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24</xdr:col>
      <xdr:colOff>821765</xdr:colOff>
      <xdr:row>72</xdr:row>
      <xdr:rowOff>50738</xdr:rowOff>
    </xdr:from>
    <xdr:to>
      <xdr:col>32</xdr:col>
      <xdr:colOff>38412</xdr:colOff>
      <xdr:row>84</xdr:row>
      <xdr:rowOff>157528</xdr:rowOff>
    </xdr:to>
    <xdr:graphicFrame macro="">
      <xdr:nvGraphicFramePr>
        <xdr:cNvPr id="24" name="Diagramm 23">
          <a:extLst>
            <a:ext uri="{FF2B5EF4-FFF2-40B4-BE49-F238E27FC236}">
              <a16:creationId xmlns:a16="http://schemas.microsoft.com/office/drawing/2014/main" id="{26184109-CC0A-4298-88CF-2D43A39666F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15</xdr:col>
      <xdr:colOff>102977</xdr:colOff>
      <xdr:row>117</xdr:row>
      <xdr:rowOff>22006</xdr:rowOff>
    </xdr:from>
    <xdr:to>
      <xdr:col>17</xdr:col>
      <xdr:colOff>1190623</xdr:colOff>
      <xdr:row>123</xdr:row>
      <xdr:rowOff>394</xdr:rowOff>
    </xdr:to>
    <xdr:graphicFrame macro="">
      <xdr:nvGraphicFramePr>
        <xdr:cNvPr id="87" name="DiagrammGesellschaft_Klima">
          <a:extLst>
            <a:ext uri="{FF2B5EF4-FFF2-40B4-BE49-F238E27FC236}">
              <a16:creationId xmlns:a16="http://schemas.microsoft.com/office/drawing/2014/main" id="{EDA5F25E-2FFC-4D94-9CD2-7F26143C2E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13</xdr:col>
      <xdr:colOff>138535</xdr:colOff>
      <xdr:row>118</xdr:row>
      <xdr:rowOff>1133</xdr:rowOff>
    </xdr:from>
    <xdr:to>
      <xdr:col>16</xdr:col>
      <xdr:colOff>6085</xdr:colOff>
      <xdr:row>123</xdr:row>
      <xdr:rowOff>3333</xdr:rowOff>
    </xdr:to>
    <xdr:graphicFrame macro="">
      <xdr:nvGraphicFramePr>
        <xdr:cNvPr id="89" name="Diagramm 88">
          <a:extLst>
            <a:ext uri="{FF2B5EF4-FFF2-40B4-BE49-F238E27FC236}">
              <a16:creationId xmlns:a16="http://schemas.microsoft.com/office/drawing/2014/main" id="{FCE69C79-BC19-46D7-87BB-BA6E4F5569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16</xdr:col>
      <xdr:colOff>3969</xdr:colOff>
      <xdr:row>123</xdr:row>
      <xdr:rowOff>1587</xdr:rowOff>
    </xdr:from>
    <xdr:to>
      <xdr:col>17</xdr:col>
      <xdr:colOff>1189349</xdr:colOff>
      <xdr:row>131</xdr:row>
      <xdr:rowOff>6913</xdr:rowOff>
    </xdr:to>
    <xdr:graphicFrame macro="">
      <xdr:nvGraphicFramePr>
        <xdr:cNvPr id="111" name="DiagrammGesellschaft_Klima">
          <a:extLst>
            <a:ext uri="{FF2B5EF4-FFF2-40B4-BE49-F238E27FC236}">
              <a16:creationId xmlns:a16="http://schemas.microsoft.com/office/drawing/2014/main" id="{79903127-BA25-4364-8173-DE2BC2B22F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13</xdr:col>
      <xdr:colOff>138339</xdr:colOff>
      <xdr:row>115</xdr:row>
      <xdr:rowOff>0</xdr:rowOff>
    </xdr:from>
    <xdr:to>
      <xdr:col>15</xdr:col>
      <xdr:colOff>107197</xdr:colOff>
      <xdr:row>115</xdr:row>
      <xdr:rowOff>378000</xdr:rowOff>
    </xdr:to>
    <xdr:graphicFrame macro="">
      <xdr:nvGraphicFramePr>
        <xdr:cNvPr id="116" name="Diagramm 115">
          <a:extLst>
            <a:ext uri="{FF2B5EF4-FFF2-40B4-BE49-F238E27FC236}">
              <a16:creationId xmlns:a16="http://schemas.microsoft.com/office/drawing/2014/main" id="{13BEC2C1-E6B7-4C7C-995C-18F794D8A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16</xdr:col>
      <xdr:colOff>0</xdr:colOff>
      <xdr:row>115</xdr:row>
      <xdr:rowOff>0</xdr:rowOff>
    </xdr:from>
    <xdr:to>
      <xdr:col>17</xdr:col>
      <xdr:colOff>1190472</xdr:colOff>
      <xdr:row>115</xdr:row>
      <xdr:rowOff>378000</xdr:rowOff>
    </xdr:to>
    <xdr:graphicFrame macro="">
      <xdr:nvGraphicFramePr>
        <xdr:cNvPr id="117" name="Diagramm 116">
          <a:extLst>
            <a:ext uri="{FF2B5EF4-FFF2-40B4-BE49-F238E27FC236}">
              <a16:creationId xmlns:a16="http://schemas.microsoft.com/office/drawing/2014/main" id="{7F5506F7-F907-483C-9CC2-0BE31A2D67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13</xdr:col>
      <xdr:colOff>136070</xdr:colOff>
      <xdr:row>141</xdr:row>
      <xdr:rowOff>0</xdr:rowOff>
    </xdr:from>
    <xdr:to>
      <xdr:col>16</xdr:col>
      <xdr:colOff>3270</xdr:colOff>
      <xdr:row>141</xdr:row>
      <xdr:rowOff>378000</xdr:rowOff>
    </xdr:to>
    <xdr:graphicFrame macro="">
      <xdr:nvGraphicFramePr>
        <xdr:cNvPr id="118" name="Diagramm 117">
          <a:extLst>
            <a:ext uri="{FF2B5EF4-FFF2-40B4-BE49-F238E27FC236}">
              <a16:creationId xmlns:a16="http://schemas.microsoft.com/office/drawing/2014/main" id="{019EA2BB-B4EA-43E4-9C26-BCF4A4A2F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16</xdr:col>
      <xdr:colOff>0</xdr:colOff>
      <xdr:row>141</xdr:row>
      <xdr:rowOff>0</xdr:rowOff>
    </xdr:from>
    <xdr:to>
      <xdr:col>17</xdr:col>
      <xdr:colOff>1183321</xdr:colOff>
      <xdr:row>141</xdr:row>
      <xdr:rowOff>378000</xdr:rowOff>
    </xdr:to>
    <xdr:graphicFrame macro="">
      <xdr:nvGraphicFramePr>
        <xdr:cNvPr id="121" name="Diagramm 120">
          <a:extLst>
            <a:ext uri="{FF2B5EF4-FFF2-40B4-BE49-F238E27FC236}">
              <a16:creationId xmlns:a16="http://schemas.microsoft.com/office/drawing/2014/main" id="{E17F37EE-7F8E-47CB-9D0C-41B1405C8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13</xdr:col>
      <xdr:colOff>133804</xdr:colOff>
      <xdr:row>144</xdr:row>
      <xdr:rowOff>0</xdr:rowOff>
    </xdr:from>
    <xdr:to>
      <xdr:col>16</xdr:col>
      <xdr:colOff>1004</xdr:colOff>
      <xdr:row>154</xdr:row>
      <xdr:rowOff>123154</xdr:rowOff>
    </xdr:to>
    <xdr:graphicFrame macro="">
      <xdr:nvGraphicFramePr>
        <xdr:cNvPr id="122" name="Diagramm 121">
          <a:extLst>
            <a:ext uri="{FF2B5EF4-FFF2-40B4-BE49-F238E27FC236}">
              <a16:creationId xmlns:a16="http://schemas.microsoft.com/office/drawing/2014/main" id="{2442F3F2-141D-435A-9C09-ED880010D9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16</xdr:col>
      <xdr:colOff>1395</xdr:colOff>
      <xdr:row>144</xdr:row>
      <xdr:rowOff>0</xdr:rowOff>
    </xdr:from>
    <xdr:to>
      <xdr:col>17</xdr:col>
      <xdr:colOff>1184716</xdr:colOff>
      <xdr:row>151</xdr:row>
      <xdr:rowOff>6350</xdr:rowOff>
    </xdr:to>
    <xdr:graphicFrame macro="">
      <xdr:nvGraphicFramePr>
        <xdr:cNvPr id="123" name="Diagramm 122">
          <a:extLst>
            <a:ext uri="{FF2B5EF4-FFF2-40B4-BE49-F238E27FC236}">
              <a16:creationId xmlns:a16="http://schemas.microsoft.com/office/drawing/2014/main" id="{9D29B4F9-6252-45DF-AC4D-7F70B9A04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13</xdr:col>
      <xdr:colOff>131535</xdr:colOff>
      <xdr:row>155</xdr:row>
      <xdr:rowOff>126999</xdr:rowOff>
    </xdr:from>
    <xdr:to>
      <xdr:col>15</xdr:col>
      <xdr:colOff>107593</xdr:colOff>
      <xdr:row>156</xdr:row>
      <xdr:rowOff>377999</xdr:rowOff>
    </xdr:to>
    <xdr:graphicFrame macro="">
      <xdr:nvGraphicFramePr>
        <xdr:cNvPr id="124" name="Diagramm 123">
          <a:extLst>
            <a:ext uri="{FF2B5EF4-FFF2-40B4-BE49-F238E27FC236}">
              <a16:creationId xmlns:a16="http://schemas.microsoft.com/office/drawing/2014/main" id="{F2E810C2-E9D7-4A0B-AC28-EAEF4A822F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16</xdr:col>
      <xdr:colOff>0</xdr:colOff>
      <xdr:row>155</xdr:row>
      <xdr:rowOff>126999</xdr:rowOff>
    </xdr:from>
    <xdr:to>
      <xdr:col>17</xdr:col>
      <xdr:colOff>1183321</xdr:colOff>
      <xdr:row>156</xdr:row>
      <xdr:rowOff>377999</xdr:rowOff>
    </xdr:to>
    <xdr:graphicFrame macro="">
      <xdr:nvGraphicFramePr>
        <xdr:cNvPr id="125" name="Diagramm 124">
          <a:extLst>
            <a:ext uri="{FF2B5EF4-FFF2-40B4-BE49-F238E27FC236}">
              <a16:creationId xmlns:a16="http://schemas.microsoft.com/office/drawing/2014/main" id="{ABC374F6-8EE9-40E4-BF20-A497CCECD9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13</xdr:col>
      <xdr:colOff>132771</xdr:colOff>
      <xdr:row>159</xdr:row>
      <xdr:rowOff>758</xdr:rowOff>
    </xdr:from>
    <xdr:to>
      <xdr:col>15</xdr:col>
      <xdr:colOff>107921</xdr:colOff>
      <xdr:row>165</xdr:row>
      <xdr:rowOff>125778</xdr:rowOff>
    </xdr:to>
    <xdr:graphicFrame macro="">
      <xdr:nvGraphicFramePr>
        <xdr:cNvPr id="131" name="Diagramm 130">
          <a:extLst>
            <a:ext uri="{FF2B5EF4-FFF2-40B4-BE49-F238E27FC236}">
              <a16:creationId xmlns:a16="http://schemas.microsoft.com/office/drawing/2014/main" id="{8D07E187-1F67-42C4-B279-3204C63DCE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13</xdr:col>
      <xdr:colOff>138287</xdr:colOff>
      <xdr:row>123</xdr:row>
      <xdr:rowOff>0</xdr:rowOff>
    </xdr:from>
    <xdr:to>
      <xdr:col>16</xdr:col>
      <xdr:colOff>5837</xdr:colOff>
      <xdr:row>131</xdr:row>
      <xdr:rowOff>5326</xdr:rowOff>
    </xdr:to>
    <xdr:graphicFrame macro="">
      <xdr:nvGraphicFramePr>
        <xdr:cNvPr id="159" name="Diagramm 158">
          <a:extLst>
            <a:ext uri="{FF2B5EF4-FFF2-40B4-BE49-F238E27FC236}">
              <a16:creationId xmlns:a16="http://schemas.microsoft.com/office/drawing/2014/main" id="{3493C085-C797-46D2-9B79-B68C1CCC4A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13</xdr:col>
      <xdr:colOff>129383</xdr:colOff>
      <xdr:row>166</xdr:row>
      <xdr:rowOff>1813</xdr:rowOff>
    </xdr:from>
    <xdr:to>
      <xdr:col>16</xdr:col>
      <xdr:colOff>5012</xdr:colOff>
      <xdr:row>173</xdr:row>
      <xdr:rowOff>5218</xdr:rowOff>
    </xdr:to>
    <xdr:graphicFrame macro="">
      <xdr:nvGraphicFramePr>
        <xdr:cNvPr id="161" name="Diagramm 160">
          <a:extLst>
            <a:ext uri="{FF2B5EF4-FFF2-40B4-BE49-F238E27FC236}">
              <a16:creationId xmlns:a16="http://schemas.microsoft.com/office/drawing/2014/main" id="{094F2B84-93D1-4B39-931C-B00ADB7BF0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15</xdr:col>
      <xdr:colOff>108414</xdr:colOff>
      <xdr:row>159</xdr:row>
      <xdr:rowOff>0</xdr:rowOff>
    </xdr:from>
    <xdr:to>
      <xdr:col>17</xdr:col>
      <xdr:colOff>1181301</xdr:colOff>
      <xdr:row>165</xdr:row>
      <xdr:rowOff>123524</xdr:rowOff>
    </xdr:to>
    <xdr:graphicFrame macro="">
      <xdr:nvGraphicFramePr>
        <xdr:cNvPr id="163" name="Diagramm 162">
          <a:extLst>
            <a:ext uri="{FF2B5EF4-FFF2-40B4-BE49-F238E27FC236}">
              <a16:creationId xmlns:a16="http://schemas.microsoft.com/office/drawing/2014/main" id="{068BF284-FC7D-4C63-A2AD-8D1D666FEE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16</xdr:col>
      <xdr:colOff>0</xdr:colOff>
      <xdr:row>165</xdr:row>
      <xdr:rowOff>125451</xdr:rowOff>
    </xdr:from>
    <xdr:to>
      <xdr:col>17</xdr:col>
      <xdr:colOff>1178385</xdr:colOff>
      <xdr:row>173</xdr:row>
      <xdr:rowOff>5219</xdr:rowOff>
    </xdr:to>
    <xdr:graphicFrame macro="">
      <xdr:nvGraphicFramePr>
        <xdr:cNvPr id="164" name="Diagramm 163">
          <a:extLst>
            <a:ext uri="{FF2B5EF4-FFF2-40B4-BE49-F238E27FC236}">
              <a16:creationId xmlns:a16="http://schemas.microsoft.com/office/drawing/2014/main" id="{188B5204-3E98-4752-927E-28FD481FB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13</xdr:col>
      <xdr:colOff>133195</xdr:colOff>
      <xdr:row>173</xdr:row>
      <xdr:rowOff>0</xdr:rowOff>
    </xdr:from>
    <xdr:to>
      <xdr:col>15</xdr:col>
      <xdr:colOff>107462</xdr:colOff>
      <xdr:row>176</xdr:row>
      <xdr:rowOff>117220</xdr:rowOff>
    </xdr:to>
    <xdr:graphicFrame macro="">
      <xdr:nvGraphicFramePr>
        <xdr:cNvPr id="165" name="Diagramm 164">
          <a:extLst>
            <a:ext uri="{FF2B5EF4-FFF2-40B4-BE49-F238E27FC236}">
              <a16:creationId xmlns:a16="http://schemas.microsoft.com/office/drawing/2014/main" id="{6998C9AE-D34B-43B6-BB50-3795E859B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16</xdr:col>
      <xdr:colOff>0</xdr:colOff>
      <xdr:row>173</xdr:row>
      <xdr:rowOff>0</xdr:rowOff>
    </xdr:from>
    <xdr:to>
      <xdr:col>17</xdr:col>
      <xdr:colOff>1178385</xdr:colOff>
      <xdr:row>176</xdr:row>
      <xdr:rowOff>117220</xdr:rowOff>
    </xdr:to>
    <xdr:graphicFrame macro="">
      <xdr:nvGraphicFramePr>
        <xdr:cNvPr id="169" name="Diagramm 168">
          <a:extLst>
            <a:ext uri="{FF2B5EF4-FFF2-40B4-BE49-F238E27FC236}">
              <a16:creationId xmlns:a16="http://schemas.microsoft.com/office/drawing/2014/main" id="{F4BFE493-CB2C-4F89-A8D2-EFE00CDD2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13</xdr:col>
      <xdr:colOff>130628</xdr:colOff>
      <xdr:row>177</xdr:row>
      <xdr:rowOff>126998</xdr:rowOff>
    </xdr:from>
    <xdr:to>
      <xdr:col>15</xdr:col>
      <xdr:colOff>103086</xdr:colOff>
      <xdr:row>178</xdr:row>
      <xdr:rowOff>385198</xdr:rowOff>
    </xdr:to>
    <xdr:graphicFrame macro="">
      <xdr:nvGraphicFramePr>
        <xdr:cNvPr id="170" name="Diagramm 169">
          <a:extLst>
            <a:ext uri="{FF2B5EF4-FFF2-40B4-BE49-F238E27FC236}">
              <a16:creationId xmlns:a16="http://schemas.microsoft.com/office/drawing/2014/main" id="{5E0921D0-1876-4CD0-A0C2-A9A13C05D3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15</xdr:col>
      <xdr:colOff>102220</xdr:colOff>
      <xdr:row>177</xdr:row>
      <xdr:rowOff>125451</xdr:rowOff>
    </xdr:from>
    <xdr:to>
      <xdr:col>17</xdr:col>
      <xdr:colOff>1184539</xdr:colOff>
      <xdr:row>178</xdr:row>
      <xdr:rowOff>385200</xdr:rowOff>
    </xdr:to>
    <xdr:graphicFrame macro="">
      <xdr:nvGraphicFramePr>
        <xdr:cNvPr id="171" name="Diagramm 170">
          <a:extLst>
            <a:ext uri="{FF2B5EF4-FFF2-40B4-BE49-F238E27FC236}">
              <a16:creationId xmlns:a16="http://schemas.microsoft.com/office/drawing/2014/main" id="{C8426FE9-A5ED-4A29-BE96-F76AA804AF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24</xdr:col>
      <xdr:colOff>806649</xdr:colOff>
      <xdr:row>59</xdr:row>
      <xdr:rowOff>112057</xdr:rowOff>
    </xdr:from>
    <xdr:to>
      <xdr:col>32</xdr:col>
      <xdr:colOff>12779</xdr:colOff>
      <xdr:row>72</xdr:row>
      <xdr:rowOff>96116</xdr:rowOff>
    </xdr:to>
    <xdr:graphicFrame macro="">
      <xdr:nvGraphicFramePr>
        <xdr:cNvPr id="11" name="Diagramm 10">
          <a:extLst>
            <a:ext uri="{FF2B5EF4-FFF2-40B4-BE49-F238E27FC236}">
              <a16:creationId xmlns:a16="http://schemas.microsoft.com/office/drawing/2014/main" id="{44999E93-834D-48DB-A5BA-B187BE25430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14</xdr:col>
      <xdr:colOff>20250</xdr:colOff>
      <xdr:row>13</xdr:row>
      <xdr:rowOff>159425</xdr:rowOff>
    </xdr:from>
    <xdr:to>
      <xdr:col>14</xdr:col>
      <xdr:colOff>346161</xdr:colOff>
      <xdr:row>22</xdr:row>
      <xdr:rowOff>278</xdr:rowOff>
    </xdr:to>
    <xdr:sp macro="" textlink="Text!C558">
      <xdr:nvSpPr>
        <xdr:cNvPr id="12" name="Textfeld 67">
          <a:extLst>
            <a:ext uri="{FF2B5EF4-FFF2-40B4-BE49-F238E27FC236}">
              <a16:creationId xmlns:a16="http://schemas.microsoft.com/office/drawing/2014/main" id="{83548C99-54BC-4E94-A041-D4C0DE253D20}"/>
            </a:ext>
          </a:extLst>
        </xdr:cNvPr>
        <xdr:cNvSpPr txBox="1"/>
      </xdr:nvSpPr>
      <xdr:spPr>
        <a:xfrm rot="16200000">
          <a:off x="6321426" y="37389366"/>
          <a:ext cx="737324"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13</xdr:col>
      <xdr:colOff>142966</xdr:colOff>
      <xdr:row>13</xdr:row>
      <xdr:rowOff>156704</xdr:rowOff>
    </xdr:from>
    <xdr:to>
      <xdr:col>14</xdr:col>
      <xdr:colOff>4822</xdr:colOff>
      <xdr:row>21</xdr:row>
      <xdr:rowOff>126999</xdr:rowOff>
    </xdr:to>
    <xdr:sp macro="" textlink="Text!C559">
      <xdr:nvSpPr>
        <xdr:cNvPr id="13" name="Textfeld 67">
          <a:extLst>
            <a:ext uri="{FF2B5EF4-FFF2-40B4-BE49-F238E27FC236}">
              <a16:creationId xmlns:a16="http://schemas.microsoft.com/office/drawing/2014/main" id="{B2E179C1-3D79-4DE0-B078-3A4C7E7E624D}"/>
            </a:ext>
          </a:extLst>
        </xdr:cNvPr>
        <xdr:cNvSpPr txBox="1"/>
      </xdr:nvSpPr>
      <xdr:spPr>
        <a:xfrm rot="16200000">
          <a:off x="6024129" y="37433129"/>
          <a:ext cx="739766" cy="23538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3</xdr:col>
      <xdr:colOff>1116926</xdr:colOff>
      <xdr:row>13</xdr:row>
      <xdr:rowOff>26173</xdr:rowOff>
    </xdr:from>
    <xdr:to>
      <xdr:col>3</xdr:col>
      <xdr:colOff>1353594</xdr:colOff>
      <xdr:row>14</xdr:row>
      <xdr:rowOff>28068</xdr:rowOff>
    </xdr:to>
    <xdr:sp macro="" textlink="">
      <xdr:nvSpPr>
        <xdr:cNvPr id="14" name="ZoneTexte 100">
          <a:extLst>
            <a:ext uri="{FF2B5EF4-FFF2-40B4-BE49-F238E27FC236}">
              <a16:creationId xmlns:a16="http://schemas.microsoft.com/office/drawing/2014/main" id="{1C8E83CB-E2D9-4669-BA93-A0660BFAC500}"/>
            </a:ext>
          </a:extLst>
        </xdr:cNvPr>
        <xdr:cNvSpPr txBox="1"/>
      </xdr:nvSpPr>
      <xdr:spPr>
        <a:xfrm>
          <a:off x="1699632" y="37050408"/>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1006564</xdr:colOff>
      <xdr:row>13</xdr:row>
      <xdr:rowOff>156704</xdr:rowOff>
    </xdr:from>
    <xdr:to>
      <xdr:col>17</xdr:col>
      <xdr:colOff>1243070</xdr:colOff>
      <xdr:row>21</xdr:row>
      <xdr:rowOff>126999</xdr:rowOff>
    </xdr:to>
    <xdr:sp macro="" textlink="Text!C559">
      <xdr:nvSpPr>
        <xdr:cNvPr id="15" name="Textfeld 67">
          <a:extLst>
            <a:ext uri="{FF2B5EF4-FFF2-40B4-BE49-F238E27FC236}">
              <a16:creationId xmlns:a16="http://schemas.microsoft.com/office/drawing/2014/main" id="{1A40370A-CF11-4995-988C-AAFBCB99B270}"/>
            </a:ext>
          </a:extLst>
        </xdr:cNvPr>
        <xdr:cNvSpPr txBox="1"/>
      </xdr:nvSpPr>
      <xdr:spPr>
        <a:xfrm rot="16200000">
          <a:off x="9032346" y="37432569"/>
          <a:ext cx="739766" cy="236506"/>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680650</xdr:colOff>
      <xdr:row>13</xdr:row>
      <xdr:rowOff>150354</xdr:rowOff>
    </xdr:from>
    <xdr:to>
      <xdr:col>17</xdr:col>
      <xdr:colOff>1006561</xdr:colOff>
      <xdr:row>21</xdr:row>
      <xdr:rowOff>118207</xdr:rowOff>
    </xdr:to>
    <xdr:sp macro="" textlink="Text!C558">
      <xdr:nvSpPr>
        <xdr:cNvPr id="18" name="Textfeld 67">
          <a:extLst>
            <a:ext uri="{FF2B5EF4-FFF2-40B4-BE49-F238E27FC236}">
              <a16:creationId xmlns:a16="http://schemas.microsoft.com/office/drawing/2014/main" id="{D64E0CD2-4EAC-4E14-AE64-7E56169A9A10}"/>
            </a:ext>
          </a:extLst>
        </xdr:cNvPr>
        <xdr:cNvSpPr txBox="1"/>
      </xdr:nvSpPr>
      <xdr:spPr>
        <a:xfrm rot="16200000">
          <a:off x="8752356" y="37380295"/>
          <a:ext cx="737324"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16</xdr:col>
      <xdr:colOff>7</xdr:colOff>
      <xdr:row>13</xdr:row>
      <xdr:rowOff>156705</xdr:rowOff>
    </xdr:from>
    <xdr:to>
      <xdr:col>17</xdr:col>
      <xdr:colOff>430929</xdr:colOff>
      <xdr:row>21</xdr:row>
      <xdr:rowOff>126999</xdr:rowOff>
    </xdr:to>
    <xdr:sp macro="" textlink="Text!C556">
      <xdr:nvSpPr>
        <xdr:cNvPr id="20" name="Textfeld 67">
          <a:extLst>
            <a:ext uri="{FF2B5EF4-FFF2-40B4-BE49-F238E27FC236}">
              <a16:creationId xmlns:a16="http://schemas.microsoft.com/office/drawing/2014/main" id="{F4B09042-3EA1-4760-BDDD-26F451135FE3}"/>
            </a:ext>
          </a:extLst>
        </xdr:cNvPr>
        <xdr:cNvSpPr txBox="1"/>
      </xdr:nvSpPr>
      <xdr:spPr>
        <a:xfrm rot="16200000">
          <a:off x="7936232" y="37148597"/>
          <a:ext cx="739765" cy="804452"/>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clientData/>
  </xdr:twoCellAnchor>
  <xdr:twoCellAnchor>
    <xdr:from>
      <xdr:col>17</xdr:col>
      <xdr:colOff>429822</xdr:colOff>
      <xdr:row>13</xdr:row>
      <xdr:rowOff>156702</xdr:rowOff>
    </xdr:from>
    <xdr:to>
      <xdr:col>17</xdr:col>
      <xdr:colOff>667947</xdr:colOff>
      <xdr:row>21</xdr:row>
      <xdr:rowOff>124557</xdr:rowOff>
    </xdr:to>
    <xdr:sp macro="" textlink="Text!C557">
      <xdr:nvSpPr>
        <xdr:cNvPr id="23" name="Textfeld 67">
          <a:extLst>
            <a:ext uri="{FF2B5EF4-FFF2-40B4-BE49-F238E27FC236}">
              <a16:creationId xmlns:a16="http://schemas.microsoft.com/office/drawing/2014/main" id="{9F7B5DDC-A603-4ACA-9A67-4F2CF2D1A1C9}"/>
            </a:ext>
          </a:extLst>
        </xdr:cNvPr>
        <xdr:cNvSpPr txBox="1"/>
      </xdr:nvSpPr>
      <xdr:spPr>
        <a:xfrm rot="16200000">
          <a:off x="8457634" y="37430537"/>
          <a:ext cx="737326"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670658</xdr:colOff>
      <xdr:row>14</xdr:row>
      <xdr:rowOff>2</xdr:rowOff>
    </xdr:from>
    <xdr:to>
      <xdr:col>17</xdr:col>
      <xdr:colOff>670658</xdr:colOff>
      <xdr:row>22</xdr:row>
      <xdr:rowOff>0</xdr:rowOff>
    </xdr:to>
    <xdr:cxnSp macro="">
      <xdr:nvCxnSpPr>
        <xdr:cNvPr id="25" name="Connecteur droit 74">
          <a:extLst>
            <a:ext uri="{FF2B5EF4-FFF2-40B4-BE49-F238E27FC236}">
              <a16:creationId xmlns:a16="http://schemas.microsoft.com/office/drawing/2014/main" id="{1CAF1CB5-B096-4790-97F1-0A6BA5E284C4}"/>
            </a:ext>
          </a:extLst>
        </xdr:cNvPr>
        <xdr:cNvCxnSpPr/>
      </xdr:nvCxnSpPr>
      <xdr:spPr>
        <a:xfrm flipV="1">
          <a:off x="8948070"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1002567</xdr:colOff>
      <xdr:row>14</xdr:row>
      <xdr:rowOff>2</xdr:rowOff>
    </xdr:from>
    <xdr:to>
      <xdr:col>17</xdr:col>
      <xdr:colOff>1002567</xdr:colOff>
      <xdr:row>22</xdr:row>
      <xdr:rowOff>0</xdr:rowOff>
    </xdr:to>
    <xdr:cxnSp macro="">
      <xdr:nvCxnSpPr>
        <xdr:cNvPr id="27" name="Connecteur droit 76">
          <a:extLst>
            <a:ext uri="{FF2B5EF4-FFF2-40B4-BE49-F238E27FC236}">
              <a16:creationId xmlns:a16="http://schemas.microsoft.com/office/drawing/2014/main" id="{4C3567E3-1A83-46A9-A7CE-BA7BE8A9B7C1}"/>
            </a:ext>
          </a:extLst>
        </xdr:cNvPr>
        <xdr:cNvCxnSpPr/>
      </xdr:nvCxnSpPr>
      <xdr:spPr>
        <a:xfrm flipV="1">
          <a:off x="9279979"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1243415</xdr:colOff>
      <xdr:row>14</xdr:row>
      <xdr:rowOff>2</xdr:rowOff>
    </xdr:from>
    <xdr:to>
      <xdr:col>17</xdr:col>
      <xdr:colOff>1243415</xdr:colOff>
      <xdr:row>22</xdr:row>
      <xdr:rowOff>0</xdr:rowOff>
    </xdr:to>
    <xdr:cxnSp macro="">
      <xdr:nvCxnSpPr>
        <xdr:cNvPr id="28" name="Connecteur droit 78">
          <a:extLst>
            <a:ext uri="{FF2B5EF4-FFF2-40B4-BE49-F238E27FC236}">
              <a16:creationId xmlns:a16="http://schemas.microsoft.com/office/drawing/2014/main" id="{F707F8B2-A981-401F-BC48-2E18A65E1871}"/>
            </a:ext>
          </a:extLst>
        </xdr:cNvPr>
        <xdr:cNvCxnSpPr/>
      </xdr:nvCxnSpPr>
      <xdr:spPr>
        <a:xfrm flipV="1">
          <a:off x="9520827"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272957</xdr:colOff>
      <xdr:row>13</xdr:row>
      <xdr:rowOff>26173</xdr:rowOff>
    </xdr:from>
    <xdr:to>
      <xdr:col>17</xdr:col>
      <xdr:colOff>16058</xdr:colOff>
      <xdr:row>14</xdr:row>
      <xdr:rowOff>28068</xdr:rowOff>
    </xdr:to>
    <xdr:sp macro="" textlink="">
      <xdr:nvSpPr>
        <xdr:cNvPr id="29" name="ZoneTexte 57">
          <a:extLst>
            <a:ext uri="{FF2B5EF4-FFF2-40B4-BE49-F238E27FC236}">
              <a16:creationId xmlns:a16="http://schemas.microsoft.com/office/drawing/2014/main" id="{C584B44A-5945-41FB-94BD-20C0ED0BD20A}"/>
            </a:ext>
          </a:extLst>
        </xdr:cNvPr>
        <xdr:cNvSpPr txBox="1"/>
      </xdr:nvSpPr>
      <xdr:spPr>
        <a:xfrm>
          <a:off x="7907151" y="37050408"/>
          <a:ext cx="386319"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0</a:t>
          </a:r>
        </a:p>
      </xdr:txBody>
    </xdr:sp>
    <xdr:clientData/>
  </xdr:twoCellAnchor>
  <xdr:twoCellAnchor>
    <xdr:from>
      <xdr:col>17</xdr:col>
      <xdr:colOff>308370</xdr:colOff>
      <xdr:row>13</xdr:row>
      <xdr:rowOff>26173</xdr:rowOff>
    </xdr:from>
    <xdr:to>
      <xdr:col>17</xdr:col>
      <xdr:colOff>545038</xdr:colOff>
      <xdr:row>14</xdr:row>
      <xdr:rowOff>28068</xdr:rowOff>
    </xdr:to>
    <xdr:sp macro="" textlink="">
      <xdr:nvSpPr>
        <xdr:cNvPr id="30" name="ZoneTexte 98">
          <a:extLst>
            <a:ext uri="{FF2B5EF4-FFF2-40B4-BE49-F238E27FC236}">
              <a16:creationId xmlns:a16="http://schemas.microsoft.com/office/drawing/2014/main" id="{20D68DD9-D50C-46A0-B811-5532AE89C655}"/>
            </a:ext>
          </a:extLst>
        </xdr:cNvPr>
        <xdr:cNvSpPr txBox="1"/>
      </xdr:nvSpPr>
      <xdr:spPr>
        <a:xfrm>
          <a:off x="8585782" y="37050408"/>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17</xdr:col>
      <xdr:colOff>541747</xdr:colOff>
      <xdr:row>13</xdr:row>
      <xdr:rowOff>26173</xdr:rowOff>
    </xdr:from>
    <xdr:to>
      <xdr:col>17</xdr:col>
      <xdr:colOff>778415</xdr:colOff>
      <xdr:row>14</xdr:row>
      <xdr:rowOff>28068</xdr:rowOff>
    </xdr:to>
    <xdr:sp macro="" textlink="">
      <xdr:nvSpPr>
        <xdr:cNvPr id="38" name="ZoneTexte 99">
          <a:extLst>
            <a:ext uri="{FF2B5EF4-FFF2-40B4-BE49-F238E27FC236}">
              <a16:creationId xmlns:a16="http://schemas.microsoft.com/office/drawing/2014/main" id="{2F657F37-5638-4124-A697-C2819BED5268}"/>
            </a:ext>
          </a:extLst>
        </xdr:cNvPr>
        <xdr:cNvSpPr txBox="1"/>
      </xdr:nvSpPr>
      <xdr:spPr>
        <a:xfrm>
          <a:off x="8819159" y="37050408"/>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17</xdr:col>
      <xdr:colOff>881976</xdr:colOff>
      <xdr:row>13</xdr:row>
      <xdr:rowOff>26173</xdr:rowOff>
    </xdr:from>
    <xdr:to>
      <xdr:col>17</xdr:col>
      <xdr:colOff>1061494</xdr:colOff>
      <xdr:row>14</xdr:row>
      <xdr:rowOff>28068</xdr:rowOff>
    </xdr:to>
    <xdr:sp macro="" textlink="">
      <xdr:nvSpPr>
        <xdr:cNvPr id="88" name="ZoneTexte 100">
          <a:extLst>
            <a:ext uri="{FF2B5EF4-FFF2-40B4-BE49-F238E27FC236}">
              <a16:creationId xmlns:a16="http://schemas.microsoft.com/office/drawing/2014/main" id="{470126AB-052C-4FA9-A223-84DB776BD1EE}"/>
            </a:ext>
          </a:extLst>
        </xdr:cNvPr>
        <xdr:cNvSpPr txBox="1"/>
      </xdr:nvSpPr>
      <xdr:spPr>
        <a:xfrm>
          <a:off x="9159388" y="37050408"/>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clientData/>
  </xdr:twoCellAnchor>
  <xdr:twoCellAnchor>
    <xdr:from>
      <xdr:col>17</xdr:col>
      <xdr:colOff>1314524</xdr:colOff>
      <xdr:row>13</xdr:row>
      <xdr:rowOff>26173</xdr:rowOff>
    </xdr:from>
    <xdr:to>
      <xdr:col>17</xdr:col>
      <xdr:colOff>1654028</xdr:colOff>
      <xdr:row>14</xdr:row>
      <xdr:rowOff>28068</xdr:rowOff>
    </xdr:to>
    <xdr:sp macro="" textlink="">
      <xdr:nvSpPr>
        <xdr:cNvPr id="91" name="ZoneTexte 101">
          <a:extLst>
            <a:ext uri="{FF2B5EF4-FFF2-40B4-BE49-F238E27FC236}">
              <a16:creationId xmlns:a16="http://schemas.microsoft.com/office/drawing/2014/main" id="{462D9883-DC73-47A6-9E38-A16EE39D9FEB}"/>
            </a:ext>
          </a:extLst>
        </xdr:cNvPr>
        <xdr:cNvSpPr txBox="1"/>
      </xdr:nvSpPr>
      <xdr:spPr>
        <a:xfrm>
          <a:off x="9572886" y="37050408"/>
          <a:ext cx="295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18</xdr:col>
      <xdr:colOff>13001</xdr:colOff>
      <xdr:row>13</xdr:row>
      <xdr:rowOff>26173</xdr:rowOff>
    </xdr:from>
    <xdr:to>
      <xdr:col>20</xdr:col>
      <xdr:colOff>140812</xdr:colOff>
      <xdr:row>14</xdr:row>
      <xdr:rowOff>28068</xdr:rowOff>
    </xdr:to>
    <xdr:sp macro="" textlink="">
      <xdr:nvSpPr>
        <xdr:cNvPr id="112" name="ZoneTexte 103">
          <a:extLst>
            <a:ext uri="{FF2B5EF4-FFF2-40B4-BE49-F238E27FC236}">
              <a16:creationId xmlns:a16="http://schemas.microsoft.com/office/drawing/2014/main" id="{BA365CEF-8D80-4DB4-9A44-0EB0360A6FF2}"/>
            </a:ext>
          </a:extLst>
        </xdr:cNvPr>
        <xdr:cNvSpPr txBox="1"/>
      </xdr:nvSpPr>
      <xdr:spPr>
        <a:xfrm>
          <a:off x="9582825" y="37050408"/>
          <a:ext cx="336987"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a:t>
          </a:r>
        </a:p>
      </xdr:txBody>
    </xdr:sp>
    <xdr:clientData/>
  </xdr:twoCellAnchor>
  <xdr:twoCellAnchor>
    <xdr:from>
      <xdr:col>17</xdr:col>
      <xdr:colOff>423008</xdr:colOff>
      <xdr:row>14</xdr:row>
      <xdr:rowOff>2</xdr:rowOff>
    </xdr:from>
    <xdr:to>
      <xdr:col>17</xdr:col>
      <xdr:colOff>423008</xdr:colOff>
      <xdr:row>22</xdr:row>
      <xdr:rowOff>0</xdr:rowOff>
    </xdr:to>
    <xdr:cxnSp macro="">
      <xdr:nvCxnSpPr>
        <xdr:cNvPr id="139" name="Connecteur droit 74">
          <a:extLst>
            <a:ext uri="{FF2B5EF4-FFF2-40B4-BE49-F238E27FC236}">
              <a16:creationId xmlns:a16="http://schemas.microsoft.com/office/drawing/2014/main" id="{779487A2-9163-4872-95D6-0838C4CDBB58}"/>
            </a:ext>
          </a:extLst>
        </xdr:cNvPr>
        <xdr:cNvCxnSpPr/>
      </xdr:nvCxnSpPr>
      <xdr:spPr>
        <a:xfrm flipV="1">
          <a:off x="8700420"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105508</xdr:colOff>
      <xdr:row>14</xdr:row>
      <xdr:rowOff>2</xdr:rowOff>
    </xdr:from>
    <xdr:to>
      <xdr:col>15</xdr:col>
      <xdr:colOff>105508</xdr:colOff>
      <xdr:row>22</xdr:row>
      <xdr:rowOff>0</xdr:rowOff>
    </xdr:to>
    <xdr:cxnSp macro="">
      <xdr:nvCxnSpPr>
        <xdr:cNvPr id="140" name="Connecteur droit 74">
          <a:extLst>
            <a:ext uri="{FF2B5EF4-FFF2-40B4-BE49-F238E27FC236}">
              <a16:creationId xmlns:a16="http://schemas.microsoft.com/office/drawing/2014/main" id="{50973879-3DAE-4775-B2C3-DEF6154FDCA7}"/>
            </a:ext>
          </a:extLst>
        </xdr:cNvPr>
        <xdr:cNvCxnSpPr/>
      </xdr:nvCxnSpPr>
      <xdr:spPr>
        <a:xfrm flipV="1">
          <a:off x="7904802"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1085924</xdr:colOff>
      <xdr:row>13</xdr:row>
      <xdr:rowOff>26173</xdr:rowOff>
    </xdr:from>
    <xdr:to>
      <xdr:col>20</xdr:col>
      <xdr:colOff>22078</xdr:colOff>
      <xdr:row>14</xdr:row>
      <xdr:rowOff>28068</xdr:rowOff>
    </xdr:to>
    <xdr:sp macro="" textlink="">
      <xdr:nvSpPr>
        <xdr:cNvPr id="145" name="ZoneTexte 101">
          <a:extLst>
            <a:ext uri="{FF2B5EF4-FFF2-40B4-BE49-F238E27FC236}">
              <a16:creationId xmlns:a16="http://schemas.microsoft.com/office/drawing/2014/main" id="{0056AA86-F3DA-4D68-99C9-9766CB511AD0}"/>
            </a:ext>
          </a:extLst>
        </xdr:cNvPr>
        <xdr:cNvSpPr txBox="1"/>
      </xdr:nvSpPr>
      <xdr:spPr>
        <a:xfrm>
          <a:off x="9363336" y="37050408"/>
          <a:ext cx="437742"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14</xdr:col>
      <xdr:colOff>596907</xdr:colOff>
      <xdr:row>13</xdr:row>
      <xdr:rowOff>156705</xdr:rowOff>
    </xdr:from>
    <xdr:to>
      <xdr:col>15</xdr:col>
      <xdr:colOff>107079</xdr:colOff>
      <xdr:row>21</xdr:row>
      <xdr:rowOff>126999</xdr:rowOff>
    </xdr:to>
    <xdr:sp macro="" textlink="Text!C556">
      <xdr:nvSpPr>
        <xdr:cNvPr id="158" name="Textfeld 67">
          <a:extLst>
            <a:ext uri="{FF2B5EF4-FFF2-40B4-BE49-F238E27FC236}">
              <a16:creationId xmlns:a16="http://schemas.microsoft.com/office/drawing/2014/main" id="{3C1329CD-1088-4038-A927-C2C8500C38CB}"/>
            </a:ext>
          </a:extLst>
        </xdr:cNvPr>
        <xdr:cNvSpPr txBox="1"/>
      </xdr:nvSpPr>
      <xdr:spPr>
        <a:xfrm rot="16200000">
          <a:off x="7135198" y="37149531"/>
          <a:ext cx="739765" cy="802584"/>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clientData/>
  </xdr:twoCellAnchor>
  <xdr:twoCellAnchor>
    <xdr:from>
      <xdr:col>14</xdr:col>
      <xdr:colOff>588108</xdr:colOff>
      <xdr:row>14</xdr:row>
      <xdr:rowOff>2</xdr:rowOff>
    </xdr:from>
    <xdr:to>
      <xdr:col>14</xdr:col>
      <xdr:colOff>588108</xdr:colOff>
      <xdr:row>22</xdr:row>
      <xdr:rowOff>0</xdr:rowOff>
    </xdr:to>
    <xdr:cxnSp macro="">
      <xdr:nvCxnSpPr>
        <xdr:cNvPr id="160" name="Connecteur droit 74">
          <a:extLst>
            <a:ext uri="{FF2B5EF4-FFF2-40B4-BE49-F238E27FC236}">
              <a16:creationId xmlns:a16="http://schemas.microsoft.com/office/drawing/2014/main" id="{353C82B9-CABD-420C-A449-B7AA0B83D211}"/>
            </a:ext>
          </a:extLst>
        </xdr:cNvPr>
        <xdr:cNvCxnSpPr/>
      </xdr:nvCxnSpPr>
      <xdr:spPr>
        <a:xfrm flipV="1">
          <a:off x="7094990"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353622</xdr:colOff>
      <xdr:row>13</xdr:row>
      <xdr:rowOff>156702</xdr:rowOff>
    </xdr:from>
    <xdr:to>
      <xdr:col>14</xdr:col>
      <xdr:colOff>591747</xdr:colOff>
      <xdr:row>21</xdr:row>
      <xdr:rowOff>124557</xdr:rowOff>
    </xdr:to>
    <xdr:sp macro="" textlink="Text!C557">
      <xdr:nvSpPr>
        <xdr:cNvPr id="162" name="Textfeld 67">
          <a:extLst>
            <a:ext uri="{FF2B5EF4-FFF2-40B4-BE49-F238E27FC236}">
              <a16:creationId xmlns:a16="http://schemas.microsoft.com/office/drawing/2014/main" id="{076F1B45-561C-4CDD-B1B3-EC5BCB26975F}"/>
            </a:ext>
          </a:extLst>
        </xdr:cNvPr>
        <xdr:cNvSpPr txBox="1"/>
      </xdr:nvSpPr>
      <xdr:spPr>
        <a:xfrm rot="16200000">
          <a:off x="6610904" y="37430537"/>
          <a:ext cx="737326"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14</xdr:col>
      <xdr:colOff>460770</xdr:colOff>
      <xdr:row>13</xdr:row>
      <xdr:rowOff>26173</xdr:rowOff>
    </xdr:from>
    <xdr:to>
      <xdr:col>14</xdr:col>
      <xdr:colOff>697438</xdr:colOff>
      <xdr:row>14</xdr:row>
      <xdr:rowOff>28068</xdr:rowOff>
    </xdr:to>
    <xdr:sp macro="" textlink="">
      <xdr:nvSpPr>
        <xdr:cNvPr id="166" name="ZoneTexte 98">
          <a:extLst>
            <a:ext uri="{FF2B5EF4-FFF2-40B4-BE49-F238E27FC236}">
              <a16:creationId xmlns:a16="http://schemas.microsoft.com/office/drawing/2014/main" id="{1B7C4C77-BE06-43E3-A8FC-F94B736C7FD1}"/>
            </a:ext>
          </a:extLst>
        </xdr:cNvPr>
        <xdr:cNvSpPr txBox="1"/>
      </xdr:nvSpPr>
      <xdr:spPr>
        <a:xfrm>
          <a:off x="6967652" y="37050408"/>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14</xdr:col>
      <xdr:colOff>346808</xdr:colOff>
      <xdr:row>14</xdr:row>
      <xdr:rowOff>2</xdr:rowOff>
    </xdr:from>
    <xdr:to>
      <xdr:col>14</xdr:col>
      <xdr:colOff>346808</xdr:colOff>
      <xdr:row>22</xdr:row>
      <xdr:rowOff>0</xdr:rowOff>
    </xdr:to>
    <xdr:cxnSp macro="">
      <xdr:nvCxnSpPr>
        <xdr:cNvPr id="172" name="Connecteur droit 74">
          <a:extLst>
            <a:ext uri="{FF2B5EF4-FFF2-40B4-BE49-F238E27FC236}">
              <a16:creationId xmlns:a16="http://schemas.microsoft.com/office/drawing/2014/main" id="{831B24F9-E334-4A60-A9E3-BD872223CA77}"/>
            </a:ext>
          </a:extLst>
        </xdr:cNvPr>
        <xdr:cNvCxnSpPr/>
      </xdr:nvCxnSpPr>
      <xdr:spPr>
        <a:xfrm flipV="1">
          <a:off x="6853690"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217897</xdr:colOff>
      <xdr:row>13</xdr:row>
      <xdr:rowOff>26173</xdr:rowOff>
    </xdr:from>
    <xdr:to>
      <xdr:col>14</xdr:col>
      <xdr:colOff>454565</xdr:colOff>
      <xdr:row>14</xdr:row>
      <xdr:rowOff>28068</xdr:rowOff>
    </xdr:to>
    <xdr:sp macro="" textlink="">
      <xdr:nvSpPr>
        <xdr:cNvPr id="173" name="ZoneTexte 99">
          <a:extLst>
            <a:ext uri="{FF2B5EF4-FFF2-40B4-BE49-F238E27FC236}">
              <a16:creationId xmlns:a16="http://schemas.microsoft.com/office/drawing/2014/main" id="{C2650C84-8EE4-4361-B47F-C89C626C1543}"/>
            </a:ext>
          </a:extLst>
        </xdr:cNvPr>
        <xdr:cNvSpPr txBox="1"/>
      </xdr:nvSpPr>
      <xdr:spPr>
        <a:xfrm>
          <a:off x="6724779" y="37050408"/>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13</xdr:col>
      <xdr:colOff>373917</xdr:colOff>
      <xdr:row>14</xdr:row>
      <xdr:rowOff>2</xdr:rowOff>
    </xdr:from>
    <xdr:to>
      <xdr:col>13</xdr:col>
      <xdr:colOff>373917</xdr:colOff>
      <xdr:row>22</xdr:row>
      <xdr:rowOff>0</xdr:rowOff>
    </xdr:to>
    <xdr:cxnSp macro="">
      <xdr:nvCxnSpPr>
        <xdr:cNvPr id="174" name="Connecteur droit 76">
          <a:extLst>
            <a:ext uri="{FF2B5EF4-FFF2-40B4-BE49-F238E27FC236}">
              <a16:creationId xmlns:a16="http://schemas.microsoft.com/office/drawing/2014/main" id="{AD970157-AD27-4B56-A972-AF09045020AD}"/>
            </a:ext>
          </a:extLst>
        </xdr:cNvPr>
        <xdr:cNvCxnSpPr/>
      </xdr:nvCxnSpPr>
      <xdr:spPr>
        <a:xfrm flipV="1">
          <a:off x="6507270"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285076</xdr:colOff>
      <xdr:row>13</xdr:row>
      <xdr:rowOff>26173</xdr:rowOff>
    </xdr:from>
    <xdr:to>
      <xdr:col>14</xdr:col>
      <xdr:colOff>89944</xdr:colOff>
      <xdr:row>14</xdr:row>
      <xdr:rowOff>28068</xdr:rowOff>
    </xdr:to>
    <xdr:sp macro="" textlink="">
      <xdr:nvSpPr>
        <xdr:cNvPr id="175" name="ZoneTexte 100">
          <a:extLst>
            <a:ext uri="{FF2B5EF4-FFF2-40B4-BE49-F238E27FC236}">
              <a16:creationId xmlns:a16="http://schemas.microsoft.com/office/drawing/2014/main" id="{AEF4352D-7231-41D1-B9E6-C292425C8C66}"/>
            </a:ext>
          </a:extLst>
        </xdr:cNvPr>
        <xdr:cNvSpPr txBox="1"/>
      </xdr:nvSpPr>
      <xdr:spPr>
        <a:xfrm>
          <a:off x="6418429" y="37050408"/>
          <a:ext cx="178397"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fr-CH" sz="700"/>
            <a:t>85</a:t>
          </a:r>
        </a:p>
      </xdr:txBody>
    </xdr:sp>
    <xdr:clientData/>
  </xdr:twoCellAnchor>
  <xdr:twoCellAnchor>
    <xdr:from>
      <xdr:col>13</xdr:col>
      <xdr:colOff>144865</xdr:colOff>
      <xdr:row>14</xdr:row>
      <xdr:rowOff>2</xdr:rowOff>
    </xdr:from>
    <xdr:to>
      <xdr:col>13</xdr:col>
      <xdr:colOff>144865</xdr:colOff>
      <xdr:row>22</xdr:row>
      <xdr:rowOff>0</xdr:rowOff>
    </xdr:to>
    <xdr:cxnSp macro="">
      <xdr:nvCxnSpPr>
        <xdr:cNvPr id="176" name="Connecteur droit 78">
          <a:extLst>
            <a:ext uri="{FF2B5EF4-FFF2-40B4-BE49-F238E27FC236}">
              <a16:creationId xmlns:a16="http://schemas.microsoft.com/office/drawing/2014/main" id="{518B84F8-4B89-45A9-BE44-E61A68967FF5}"/>
            </a:ext>
          </a:extLst>
        </xdr:cNvPr>
        <xdr:cNvCxnSpPr/>
      </xdr:nvCxnSpPr>
      <xdr:spPr>
        <a:xfrm flipV="1">
          <a:off x="6278218" y="37278237"/>
          <a:ext cx="0" cy="642469"/>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95324</xdr:colOff>
      <xdr:row>13</xdr:row>
      <xdr:rowOff>26173</xdr:rowOff>
    </xdr:from>
    <xdr:to>
      <xdr:col>13</xdr:col>
      <xdr:colOff>326878</xdr:colOff>
      <xdr:row>14</xdr:row>
      <xdr:rowOff>28068</xdr:rowOff>
    </xdr:to>
    <xdr:sp macro="" textlink="">
      <xdr:nvSpPr>
        <xdr:cNvPr id="177" name="ZoneTexte 101">
          <a:extLst>
            <a:ext uri="{FF2B5EF4-FFF2-40B4-BE49-F238E27FC236}">
              <a16:creationId xmlns:a16="http://schemas.microsoft.com/office/drawing/2014/main" id="{5E1A28D1-8C05-4586-BA7D-0D541F7FEA2F}"/>
            </a:ext>
          </a:extLst>
        </xdr:cNvPr>
        <xdr:cNvSpPr txBox="1"/>
      </xdr:nvSpPr>
      <xdr:spPr>
        <a:xfrm>
          <a:off x="6124089" y="37050408"/>
          <a:ext cx="336142"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13</xdr:col>
      <xdr:colOff>141649</xdr:colOff>
      <xdr:row>26</xdr:row>
      <xdr:rowOff>0</xdr:rowOff>
    </xdr:from>
    <xdr:to>
      <xdr:col>16</xdr:col>
      <xdr:colOff>3045</xdr:colOff>
      <xdr:row>26</xdr:row>
      <xdr:rowOff>373560</xdr:rowOff>
    </xdr:to>
    <xdr:graphicFrame macro="">
      <xdr:nvGraphicFramePr>
        <xdr:cNvPr id="34" name="Diagramm 33">
          <a:extLst>
            <a:ext uri="{FF2B5EF4-FFF2-40B4-BE49-F238E27FC236}">
              <a16:creationId xmlns:a16="http://schemas.microsoft.com/office/drawing/2014/main" id="{F7DFA2CC-9993-4F2B-B211-D934B2ED6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15</xdr:col>
      <xdr:colOff>107219</xdr:colOff>
      <xdr:row>26</xdr:row>
      <xdr:rowOff>0</xdr:rowOff>
    </xdr:from>
    <xdr:to>
      <xdr:col>17</xdr:col>
      <xdr:colOff>1193782</xdr:colOff>
      <xdr:row>26</xdr:row>
      <xdr:rowOff>373560</xdr:rowOff>
    </xdr:to>
    <xdr:graphicFrame macro="">
      <xdr:nvGraphicFramePr>
        <xdr:cNvPr id="35" name="Diagramm 34">
          <a:extLst>
            <a:ext uri="{FF2B5EF4-FFF2-40B4-BE49-F238E27FC236}">
              <a16:creationId xmlns:a16="http://schemas.microsoft.com/office/drawing/2014/main" id="{5267BE6F-C6BD-4309-9C65-100369FF8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13</xdr:col>
      <xdr:colOff>141651</xdr:colOff>
      <xdr:row>28</xdr:row>
      <xdr:rowOff>0</xdr:rowOff>
    </xdr:from>
    <xdr:to>
      <xdr:col>16</xdr:col>
      <xdr:colOff>5298</xdr:colOff>
      <xdr:row>29</xdr:row>
      <xdr:rowOff>109</xdr:rowOff>
    </xdr:to>
    <xdr:graphicFrame macro="">
      <xdr:nvGraphicFramePr>
        <xdr:cNvPr id="36" name="Diagramm 35">
          <a:extLst>
            <a:ext uri="{FF2B5EF4-FFF2-40B4-BE49-F238E27FC236}">
              <a16:creationId xmlns:a16="http://schemas.microsoft.com/office/drawing/2014/main" id="{06777E9B-C365-4FF8-AD09-368E6C81C1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16</xdr:col>
      <xdr:colOff>2028</xdr:colOff>
      <xdr:row>28</xdr:row>
      <xdr:rowOff>0</xdr:rowOff>
    </xdr:from>
    <xdr:to>
      <xdr:col>17</xdr:col>
      <xdr:colOff>1188902</xdr:colOff>
      <xdr:row>29</xdr:row>
      <xdr:rowOff>109</xdr:rowOff>
    </xdr:to>
    <xdr:graphicFrame macro="">
      <xdr:nvGraphicFramePr>
        <xdr:cNvPr id="39" name="Diagramm 38">
          <a:extLst>
            <a:ext uri="{FF2B5EF4-FFF2-40B4-BE49-F238E27FC236}">
              <a16:creationId xmlns:a16="http://schemas.microsoft.com/office/drawing/2014/main" id="{3504D041-28D2-45CA-86C1-75184C362F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13</xdr:col>
      <xdr:colOff>136771</xdr:colOff>
      <xdr:row>30</xdr:row>
      <xdr:rowOff>0</xdr:rowOff>
    </xdr:from>
    <xdr:to>
      <xdr:col>16</xdr:col>
      <xdr:colOff>5367</xdr:colOff>
      <xdr:row>31</xdr:row>
      <xdr:rowOff>108</xdr:rowOff>
    </xdr:to>
    <xdr:graphicFrame macro="">
      <xdr:nvGraphicFramePr>
        <xdr:cNvPr id="40" name="Diagramm 39">
          <a:extLst>
            <a:ext uri="{FF2B5EF4-FFF2-40B4-BE49-F238E27FC236}">
              <a16:creationId xmlns:a16="http://schemas.microsoft.com/office/drawing/2014/main" id="{D564AC88-8BE7-4DDF-810E-043CD1DE2A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16</xdr:col>
      <xdr:colOff>1683</xdr:colOff>
      <xdr:row>30</xdr:row>
      <xdr:rowOff>0</xdr:rowOff>
    </xdr:from>
    <xdr:to>
      <xdr:col>17</xdr:col>
      <xdr:colOff>1188557</xdr:colOff>
      <xdr:row>31</xdr:row>
      <xdr:rowOff>108</xdr:rowOff>
    </xdr:to>
    <xdr:graphicFrame macro="">
      <xdr:nvGraphicFramePr>
        <xdr:cNvPr id="41" name="Diagramm 40">
          <a:extLst>
            <a:ext uri="{FF2B5EF4-FFF2-40B4-BE49-F238E27FC236}">
              <a16:creationId xmlns:a16="http://schemas.microsoft.com/office/drawing/2014/main" id="{521448F8-1087-49DB-B209-AB103D8820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13</xdr:col>
      <xdr:colOff>136776</xdr:colOff>
      <xdr:row>32</xdr:row>
      <xdr:rowOff>0</xdr:rowOff>
    </xdr:from>
    <xdr:to>
      <xdr:col>16</xdr:col>
      <xdr:colOff>1772</xdr:colOff>
      <xdr:row>32</xdr:row>
      <xdr:rowOff>385200</xdr:rowOff>
    </xdr:to>
    <xdr:graphicFrame macro="">
      <xdr:nvGraphicFramePr>
        <xdr:cNvPr id="42" name="Diagramm 41">
          <a:extLst>
            <a:ext uri="{FF2B5EF4-FFF2-40B4-BE49-F238E27FC236}">
              <a16:creationId xmlns:a16="http://schemas.microsoft.com/office/drawing/2014/main" id="{8D8A2A85-65F2-444F-9B7C-F8CFE916F1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16</xdr:col>
      <xdr:colOff>2595</xdr:colOff>
      <xdr:row>32</xdr:row>
      <xdr:rowOff>2</xdr:rowOff>
    </xdr:from>
    <xdr:to>
      <xdr:col>17</xdr:col>
      <xdr:colOff>1189469</xdr:colOff>
      <xdr:row>32</xdr:row>
      <xdr:rowOff>385202</xdr:rowOff>
    </xdr:to>
    <xdr:graphicFrame macro="">
      <xdr:nvGraphicFramePr>
        <xdr:cNvPr id="43" name="Diagramm 42">
          <a:extLst>
            <a:ext uri="{FF2B5EF4-FFF2-40B4-BE49-F238E27FC236}">
              <a16:creationId xmlns:a16="http://schemas.microsoft.com/office/drawing/2014/main" id="{AA033426-E5EC-49FE-8F08-B2D3F024F1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14</xdr:col>
      <xdr:colOff>1296215</xdr:colOff>
      <xdr:row>102</xdr:row>
      <xdr:rowOff>26173</xdr:rowOff>
    </xdr:from>
    <xdr:to>
      <xdr:col>16</xdr:col>
      <xdr:colOff>279129</xdr:colOff>
      <xdr:row>103</xdr:row>
      <xdr:rowOff>28068</xdr:rowOff>
    </xdr:to>
    <xdr:sp macro="" textlink="">
      <xdr:nvSpPr>
        <xdr:cNvPr id="134" name="ZoneTexte 57">
          <a:extLst>
            <a:ext uri="{FF2B5EF4-FFF2-40B4-BE49-F238E27FC236}">
              <a16:creationId xmlns:a16="http://schemas.microsoft.com/office/drawing/2014/main" id="{D4ABB51D-5117-46A4-999C-59C3F614E279}"/>
            </a:ext>
          </a:extLst>
        </xdr:cNvPr>
        <xdr:cNvSpPr txBox="1"/>
      </xdr:nvSpPr>
      <xdr:spPr>
        <a:xfrm>
          <a:off x="7718786" y="22913387"/>
          <a:ext cx="388986"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0</a:t>
          </a:r>
        </a:p>
      </xdr:txBody>
    </xdr:sp>
    <xdr:clientData/>
  </xdr:twoCellAnchor>
  <xdr:twoCellAnchor>
    <xdr:from>
      <xdr:col>3</xdr:col>
      <xdr:colOff>1116926</xdr:colOff>
      <xdr:row>276</xdr:row>
      <xdr:rowOff>26173</xdr:rowOff>
    </xdr:from>
    <xdr:to>
      <xdr:col>3</xdr:col>
      <xdr:colOff>1353594</xdr:colOff>
      <xdr:row>277</xdr:row>
      <xdr:rowOff>28068</xdr:rowOff>
    </xdr:to>
    <xdr:sp macro="" textlink="">
      <xdr:nvSpPr>
        <xdr:cNvPr id="7" name="ZoneTexte 100">
          <a:extLst>
            <a:ext uri="{FF2B5EF4-FFF2-40B4-BE49-F238E27FC236}">
              <a16:creationId xmlns:a16="http://schemas.microsoft.com/office/drawing/2014/main" id="{BA894AC1-E0BE-4BF3-B54A-341C803F7ACB}"/>
            </a:ext>
          </a:extLst>
        </xdr:cNvPr>
        <xdr:cNvSpPr txBox="1"/>
      </xdr:nvSpPr>
      <xdr:spPr>
        <a:xfrm>
          <a:off x="1694199" y="23117082"/>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1314524</xdr:colOff>
      <xdr:row>276</xdr:row>
      <xdr:rowOff>26173</xdr:rowOff>
    </xdr:from>
    <xdr:to>
      <xdr:col>17</xdr:col>
      <xdr:colOff>1654028</xdr:colOff>
      <xdr:row>277</xdr:row>
      <xdr:rowOff>28068</xdr:rowOff>
    </xdr:to>
    <xdr:sp macro="" textlink="">
      <xdr:nvSpPr>
        <xdr:cNvPr id="47" name="ZoneTexte 101">
          <a:extLst>
            <a:ext uri="{FF2B5EF4-FFF2-40B4-BE49-F238E27FC236}">
              <a16:creationId xmlns:a16="http://schemas.microsoft.com/office/drawing/2014/main" id="{F12A2CB7-B740-4C61-BA6D-49B4E6EC4127}"/>
            </a:ext>
          </a:extLst>
        </xdr:cNvPr>
        <xdr:cNvSpPr txBox="1"/>
      </xdr:nvSpPr>
      <xdr:spPr>
        <a:xfrm>
          <a:off x="9481201" y="23117082"/>
          <a:ext cx="295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5</xdr:col>
      <xdr:colOff>14655</xdr:colOff>
      <xdr:row>290</xdr:row>
      <xdr:rowOff>27387</xdr:rowOff>
    </xdr:from>
    <xdr:to>
      <xdr:col>7</xdr:col>
      <xdr:colOff>615104</xdr:colOff>
      <xdr:row>292</xdr:row>
      <xdr:rowOff>11545</xdr:rowOff>
    </xdr:to>
    <xdr:sp macro="" textlink="Text!AN22">
      <xdr:nvSpPr>
        <xdr:cNvPr id="62" name="Textfeld 67">
          <a:extLst>
            <a:ext uri="{FF2B5EF4-FFF2-40B4-BE49-F238E27FC236}">
              <a16:creationId xmlns:a16="http://schemas.microsoft.com/office/drawing/2014/main" id="{2AE297B8-0C65-456A-9884-880066375B82}"/>
            </a:ext>
          </a:extLst>
        </xdr:cNvPr>
        <xdr:cNvSpPr txBox="1"/>
      </xdr:nvSpPr>
      <xdr:spPr>
        <a:xfrm>
          <a:off x="2485382" y="24942478"/>
          <a:ext cx="1073813" cy="157340"/>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196C2A92-0EA3-418F-8851-DDCEB126DA75}" type="TxLink">
            <a:rPr lang="en-US" sz="900" b="1" i="0" u="none" strike="noStrike">
              <a:solidFill>
                <a:srgbClr val="000000"/>
              </a:solidFill>
              <a:latin typeface="Calibri"/>
              <a:ea typeface="Calibri"/>
              <a:cs typeface="Calibri"/>
            </a:rPr>
            <a:pPr algn="l"/>
            <a:t>Kriterium</a:t>
          </a:fld>
          <a:endParaRPr lang="en-US" sz="900" b="0" i="0" u="none" strike="noStrike">
            <a:ea typeface="Verdana" panose="020B0604030504040204" pitchFamily="34" charset="0"/>
            <a:cs typeface="Calibri"/>
          </a:endParaRPr>
        </a:p>
      </xdr:txBody>
    </xdr:sp>
    <xdr:clientData/>
  </xdr:twoCellAnchor>
  <xdr:twoCellAnchor>
    <xdr:from>
      <xdr:col>0</xdr:col>
      <xdr:colOff>24974</xdr:colOff>
      <xdr:row>290</xdr:row>
      <xdr:rowOff>0</xdr:rowOff>
    </xdr:from>
    <xdr:to>
      <xdr:col>3</xdr:col>
      <xdr:colOff>646519</xdr:colOff>
      <xdr:row>291</xdr:row>
      <xdr:rowOff>0</xdr:rowOff>
    </xdr:to>
    <xdr:sp macro="" textlink="Text!AL22">
      <xdr:nvSpPr>
        <xdr:cNvPr id="63" name="Textfeld 67">
          <a:extLst>
            <a:ext uri="{FF2B5EF4-FFF2-40B4-BE49-F238E27FC236}">
              <a16:creationId xmlns:a16="http://schemas.microsoft.com/office/drawing/2014/main" id="{87D00C4C-1E47-4382-AF15-634D18C7FC58}"/>
            </a:ext>
          </a:extLst>
        </xdr:cNvPr>
        <xdr:cNvSpPr txBox="1"/>
      </xdr:nvSpPr>
      <xdr:spPr>
        <a:xfrm>
          <a:off x="24974" y="24915091"/>
          <a:ext cx="1198818" cy="150091"/>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2</xdr:col>
      <xdr:colOff>20587</xdr:colOff>
      <xdr:row>291</xdr:row>
      <xdr:rowOff>15127</xdr:rowOff>
    </xdr:from>
    <xdr:to>
      <xdr:col>3</xdr:col>
      <xdr:colOff>307906</xdr:colOff>
      <xdr:row>348</xdr:row>
      <xdr:rowOff>107813</xdr:rowOff>
    </xdr:to>
    <xdr:grpSp>
      <xdr:nvGrpSpPr>
        <xdr:cNvPr id="183" name="Piktogramme_Pre" hidden="1">
          <a:extLst>
            <a:ext uri="{FF2B5EF4-FFF2-40B4-BE49-F238E27FC236}">
              <a16:creationId xmlns:a16="http://schemas.microsoft.com/office/drawing/2014/main" id="{DD612474-4C77-98FC-CD1D-1D10B807955E}"/>
            </a:ext>
          </a:extLst>
        </xdr:cNvPr>
        <xdr:cNvGrpSpPr/>
      </xdr:nvGrpSpPr>
      <xdr:grpSpPr>
        <a:xfrm>
          <a:off x="506175" y="32698765"/>
          <a:ext cx="391907" cy="0"/>
          <a:chOff x="501373" y="54198770"/>
          <a:chExt cx="387104" cy="6642257"/>
        </a:xfrm>
      </xdr:grpSpPr>
      <xdr:pic>
        <xdr:nvPicPr>
          <xdr:cNvPr id="64" name="Grafik 63" hidden="1">
            <a:extLst>
              <a:ext uri="{FF2B5EF4-FFF2-40B4-BE49-F238E27FC236}">
                <a16:creationId xmlns:a16="http://schemas.microsoft.com/office/drawing/2014/main" id="{72C7CF7C-73C7-4816-B880-617653C68DFD}"/>
              </a:ext>
            </a:extLst>
          </xdr:cNvPr>
          <xdr:cNvPicPr>
            <a:picLocks noChangeAspect="1"/>
          </xdr:cNvPicPr>
        </xdr:nvPicPr>
        <xdr:blipFill>
          <a:blip xmlns:r="http://schemas.openxmlformats.org/officeDocument/2006/relationships" r:embed="rId3"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01373" y="55689500"/>
            <a:ext cx="362546" cy="354802"/>
          </a:xfrm>
          <a:prstGeom prst="rect">
            <a:avLst/>
          </a:prstGeom>
        </xdr:spPr>
      </xdr:pic>
      <xdr:pic>
        <xdr:nvPicPr>
          <xdr:cNvPr id="65" name="Grafik 64" hidden="1">
            <a:extLst>
              <a:ext uri="{FF2B5EF4-FFF2-40B4-BE49-F238E27FC236}">
                <a16:creationId xmlns:a16="http://schemas.microsoft.com/office/drawing/2014/main" id="{07C72E7B-01C0-4458-B1CD-22E3464CBF7B}"/>
              </a:ext>
            </a:extLst>
          </xdr:cNvPr>
          <xdr:cNvPicPr>
            <a:picLocks noChangeAspect="1"/>
          </xdr:cNvPicPr>
        </xdr:nvPicPr>
        <xdr:blipFill>
          <a:blip xmlns:r="http://schemas.openxmlformats.org/officeDocument/2006/relationships" r:embed="rId4"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10255" y="54619071"/>
            <a:ext cx="368393" cy="354802"/>
          </a:xfrm>
          <a:prstGeom prst="rect">
            <a:avLst/>
          </a:prstGeom>
        </xdr:spPr>
      </xdr:pic>
      <xdr:pic>
        <xdr:nvPicPr>
          <xdr:cNvPr id="66" name="Grafik 65" hidden="1">
            <a:extLst>
              <a:ext uri="{FF2B5EF4-FFF2-40B4-BE49-F238E27FC236}">
                <a16:creationId xmlns:a16="http://schemas.microsoft.com/office/drawing/2014/main" id="{365900C1-3770-41F1-A95F-076759BE457A}"/>
              </a:ext>
            </a:extLst>
          </xdr:cNvPr>
          <xdr:cNvPicPr>
            <a:picLocks noChangeAspect="1"/>
          </xdr:cNvPicPr>
        </xdr:nvPicPr>
        <xdr:blipFill>
          <a:blip xmlns:r="http://schemas.openxmlformats.org/officeDocument/2006/relationships" r:embed="rId5"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10255" y="55013599"/>
            <a:ext cx="368393" cy="360678"/>
          </a:xfrm>
          <a:prstGeom prst="rect">
            <a:avLst/>
          </a:prstGeom>
        </xdr:spPr>
      </xdr:pic>
      <xdr:pic>
        <xdr:nvPicPr>
          <xdr:cNvPr id="67" name="Grafik 66" hidden="1">
            <a:extLst>
              <a:ext uri="{FF2B5EF4-FFF2-40B4-BE49-F238E27FC236}">
                <a16:creationId xmlns:a16="http://schemas.microsoft.com/office/drawing/2014/main" id="{0EF37D8E-959B-48FC-8E4A-881B151C63D9}"/>
              </a:ext>
            </a:extLst>
          </xdr:cNvPr>
          <xdr:cNvPicPr>
            <a:picLocks noChangeAspect="1"/>
          </xdr:cNvPicPr>
        </xdr:nvPicPr>
        <xdr:blipFill>
          <a:blip xmlns:r="http://schemas.openxmlformats.org/officeDocument/2006/relationships" r:embed="rId6"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08844" y="54198770"/>
            <a:ext cx="368393" cy="354802"/>
          </a:xfrm>
          <a:prstGeom prst="rect">
            <a:avLst/>
          </a:prstGeom>
        </xdr:spPr>
      </xdr:pic>
      <xdr:pic>
        <xdr:nvPicPr>
          <xdr:cNvPr id="74" name="Grafik 73" hidden="1">
            <a:extLst>
              <a:ext uri="{FF2B5EF4-FFF2-40B4-BE49-F238E27FC236}">
                <a16:creationId xmlns:a16="http://schemas.microsoft.com/office/drawing/2014/main" id="{EB66CCAF-7B43-4BC6-B4CB-8E3E370EE2FE}"/>
              </a:ext>
            </a:extLst>
          </xdr:cNvPr>
          <xdr:cNvPicPr>
            <a:picLocks noChangeAspect="1"/>
          </xdr:cNvPicPr>
        </xdr:nvPicPr>
        <xdr:blipFill>
          <a:blip xmlns:r="http://schemas.openxmlformats.org/officeDocument/2006/relationships" r:embed="rId11"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18141" y="57036343"/>
            <a:ext cx="369072" cy="354124"/>
          </a:xfrm>
          <a:prstGeom prst="rect">
            <a:avLst/>
          </a:prstGeom>
        </xdr:spPr>
      </xdr:pic>
      <xdr:pic>
        <xdr:nvPicPr>
          <xdr:cNvPr id="75" name="Grafik 74" hidden="1">
            <a:extLst>
              <a:ext uri="{FF2B5EF4-FFF2-40B4-BE49-F238E27FC236}">
                <a16:creationId xmlns:a16="http://schemas.microsoft.com/office/drawing/2014/main" id="{09C7E8B7-4D39-41E6-B54A-FBE48EE0BD65}"/>
              </a:ext>
            </a:extLst>
          </xdr:cNvPr>
          <xdr:cNvPicPr>
            <a:picLocks noChangeAspect="1"/>
          </xdr:cNvPicPr>
        </xdr:nvPicPr>
        <xdr:blipFill>
          <a:blip xmlns:r="http://schemas.openxmlformats.org/officeDocument/2006/relationships" r:embed="rId12"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20084" y="57436350"/>
            <a:ext cx="368393" cy="354124"/>
          </a:xfrm>
          <a:prstGeom prst="rect">
            <a:avLst/>
          </a:prstGeom>
        </xdr:spPr>
      </xdr:pic>
      <xdr:pic>
        <xdr:nvPicPr>
          <xdr:cNvPr id="76" name="Grafik 75" hidden="1">
            <a:extLst>
              <a:ext uri="{FF2B5EF4-FFF2-40B4-BE49-F238E27FC236}">
                <a16:creationId xmlns:a16="http://schemas.microsoft.com/office/drawing/2014/main" id="{C2758053-BDD4-41F0-8BAF-2D3732F75C89}"/>
              </a:ext>
            </a:extLst>
          </xdr:cNvPr>
          <xdr:cNvPicPr>
            <a:picLocks noChangeAspect="1"/>
          </xdr:cNvPicPr>
        </xdr:nvPicPr>
        <xdr:blipFill>
          <a:blip xmlns:r="http://schemas.openxmlformats.org/officeDocument/2006/relationships" r:embed="rId13"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12613" y="57837828"/>
            <a:ext cx="368393" cy="344377"/>
          </a:xfrm>
          <a:prstGeom prst="rect">
            <a:avLst/>
          </a:prstGeom>
        </xdr:spPr>
      </xdr:pic>
      <xdr:pic>
        <xdr:nvPicPr>
          <xdr:cNvPr id="80" name="Grafik 79" hidden="1">
            <a:extLst>
              <a:ext uri="{FF2B5EF4-FFF2-40B4-BE49-F238E27FC236}">
                <a16:creationId xmlns:a16="http://schemas.microsoft.com/office/drawing/2014/main" id="{F77CFE9F-8319-4C0B-954E-F14224353D05}"/>
              </a:ext>
            </a:extLst>
          </xdr:cNvPr>
          <xdr:cNvPicPr>
            <a:picLocks noChangeAspect="1"/>
          </xdr:cNvPicPr>
        </xdr:nvPicPr>
        <xdr:blipFill>
          <a:blip xmlns:r="http://schemas.openxmlformats.org/officeDocument/2006/relationships" r:embed="rId59" cstate="print">
            <a:clrChange>
              <a:clrFrom>
                <a:srgbClr val="DBEDCE"/>
              </a:clrFrom>
              <a:clrTo>
                <a:srgbClr val="DBEDCE">
                  <a:alpha val="0"/>
                </a:srgbClr>
              </a:clrTo>
            </a:clrChange>
            <a:extLst>
              <a:ext uri="{28A0092B-C50C-407E-A947-70E740481C1C}">
                <a14:useLocalDpi xmlns:a14="http://schemas.microsoft.com/office/drawing/2010/main" val="0"/>
              </a:ext>
            </a:extLst>
          </a:blip>
          <a:stretch>
            <a:fillRect/>
          </a:stretch>
        </xdr:blipFill>
        <xdr:spPr>
          <a:xfrm>
            <a:off x="523446" y="58891713"/>
            <a:ext cx="365031" cy="358407"/>
          </a:xfrm>
          <a:prstGeom prst="rect">
            <a:avLst/>
          </a:prstGeom>
        </xdr:spPr>
      </xdr:pic>
      <xdr:pic>
        <xdr:nvPicPr>
          <xdr:cNvPr id="82" name="Grafik 81" hidden="1">
            <a:extLst>
              <a:ext uri="{FF2B5EF4-FFF2-40B4-BE49-F238E27FC236}">
                <a16:creationId xmlns:a16="http://schemas.microsoft.com/office/drawing/2014/main" id="{5A006917-49C2-4886-91AD-632CCB640FC6}"/>
              </a:ext>
            </a:extLst>
          </xdr:cNvPr>
          <xdr:cNvPicPr>
            <a:picLocks noChangeAspect="1"/>
          </xdr:cNvPicPr>
        </xdr:nvPicPr>
        <xdr:blipFill>
          <a:blip xmlns:r="http://schemas.openxmlformats.org/officeDocument/2006/relationships" r:embed="rId14" cstate="print">
            <a:clrChange>
              <a:clrFrom>
                <a:srgbClr val="DAECD0"/>
              </a:clrFrom>
              <a:clrTo>
                <a:srgbClr val="DAECD0">
                  <a:alpha val="0"/>
                </a:srgbClr>
              </a:clrTo>
            </a:clrChange>
            <a:extLst>
              <a:ext uri="{28A0092B-C50C-407E-A947-70E740481C1C}">
                <a14:useLocalDpi xmlns:a14="http://schemas.microsoft.com/office/drawing/2010/main" val="0"/>
              </a:ext>
            </a:extLst>
          </a:blip>
          <a:stretch>
            <a:fillRect/>
          </a:stretch>
        </xdr:blipFill>
        <xdr:spPr>
          <a:xfrm>
            <a:off x="520084" y="59291901"/>
            <a:ext cx="364124" cy="361815"/>
          </a:xfrm>
          <a:prstGeom prst="rect">
            <a:avLst/>
          </a:prstGeom>
        </xdr:spPr>
      </xdr:pic>
      <xdr:pic>
        <xdr:nvPicPr>
          <xdr:cNvPr id="83" name="Grafik 82" hidden="1">
            <a:extLst>
              <a:ext uri="{FF2B5EF4-FFF2-40B4-BE49-F238E27FC236}">
                <a16:creationId xmlns:a16="http://schemas.microsoft.com/office/drawing/2014/main" id="{E026AA3B-1202-4BB0-B99E-8B4644C9253B}"/>
              </a:ext>
            </a:extLst>
          </xdr:cNvPr>
          <xdr:cNvPicPr>
            <a:picLocks noChangeAspect="1"/>
          </xdr:cNvPicPr>
        </xdr:nvPicPr>
        <xdr:blipFill>
          <a:blip xmlns:r="http://schemas.openxmlformats.org/officeDocument/2006/relationships" r:embed="rId15" cstate="print">
            <a:clrChange>
              <a:clrFrom>
                <a:srgbClr val="DCEDD1"/>
              </a:clrFrom>
              <a:clrTo>
                <a:srgbClr val="DCEDD1">
                  <a:alpha val="0"/>
                </a:srgbClr>
              </a:clrTo>
            </a:clrChange>
            <a:extLst>
              <a:ext uri="{28A0092B-C50C-407E-A947-70E740481C1C}">
                <a14:useLocalDpi xmlns:a14="http://schemas.microsoft.com/office/drawing/2010/main" val="0"/>
              </a:ext>
            </a:extLst>
          </a:blip>
          <a:stretch>
            <a:fillRect/>
          </a:stretch>
        </xdr:blipFill>
        <xdr:spPr>
          <a:xfrm>
            <a:off x="519790" y="60479214"/>
            <a:ext cx="364124" cy="361813"/>
          </a:xfrm>
          <a:prstGeom prst="rect">
            <a:avLst/>
          </a:prstGeom>
        </xdr:spPr>
      </xdr:pic>
      <xdr:pic>
        <xdr:nvPicPr>
          <xdr:cNvPr id="84" name="Grafik 83" hidden="1">
            <a:extLst>
              <a:ext uri="{FF2B5EF4-FFF2-40B4-BE49-F238E27FC236}">
                <a16:creationId xmlns:a16="http://schemas.microsoft.com/office/drawing/2014/main" id="{9E584E9E-5B89-4C5A-BF4E-1C3A424E843F}"/>
              </a:ext>
            </a:extLst>
          </xdr:cNvPr>
          <xdr:cNvPicPr>
            <a:picLocks noChangeAspect="1"/>
          </xdr:cNvPicPr>
        </xdr:nvPicPr>
        <xdr:blipFill>
          <a:blip xmlns:r="http://schemas.openxmlformats.org/officeDocument/2006/relationships" r:embed="rId16" cstate="print">
            <a:clrChange>
              <a:clrFrom>
                <a:srgbClr val="DEEED3"/>
              </a:clrFrom>
              <a:clrTo>
                <a:srgbClr val="DEEED3">
                  <a:alpha val="0"/>
                </a:srgbClr>
              </a:clrTo>
            </a:clrChange>
            <a:extLst>
              <a:ext uri="{28A0092B-C50C-407E-A947-70E740481C1C}">
                <a14:useLocalDpi xmlns:a14="http://schemas.microsoft.com/office/drawing/2010/main" val="0"/>
              </a:ext>
            </a:extLst>
          </a:blip>
          <a:stretch>
            <a:fillRect/>
          </a:stretch>
        </xdr:blipFill>
        <xdr:spPr>
          <a:xfrm>
            <a:off x="510066" y="59871426"/>
            <a:ext cx="364124" cy="360000"/>
          </a:xfrm>
          <a:prstGeom prst="rect">
            <a:avLst/>
          </a:prstGeom>
        </xdr:spPr>
      </xdr:pic>
    </xdr:grpSp>
    <xdr:clientData/>
  </xdr:twoCellAnchor>
  <xdr:twoCellAnchor>
    <xdr:from>
      <xdr:col>3</xdr:col>
      <xdr:colOff>716218</xdr:colOff>
      <xdr:row>233</xdr:row>
      <xdr:rowOff>72705</xdr:rowOff>
    </xdr:from>
    <xdr:to>
      <xdr:col>14</xdr:col>
      <xdr:colOff>157368</xdr:colOff>
      <xdr:row>260</xdr:row>
      <xdr:rowOff>0</xdr:rowOff>
    </xdr:to>
    <xdr:graphicFrame macro="">
      <xdr:nvGraphicFramePr>
        <xdr:cNvPr id="93" name="Diagramm 92">
          <a:extLst>
            <a:ext uri="{FF2B5EF4-FFF2-40B4-BE49-F238E27FC236}">
              <a16:creationId xmlns:a16="http://schemas.microsoft.com/office/drawing/2014/main" id="{24811FD5-6917-4C2D-9641-E000D66C93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3</xdr:col>
      <xdr:colOff>1116926</xdr:colOff>
      <xdr:row>187</xdr:row>
      <xdr:rowOff>26173</xdr:rowOff>
    </xdr:from>
    <xdr:to>
      <xdr:col>3</xdr:col>
      <xdr:colOff>1353594</xdr:colOff>
      <xdr:row>188</xdr:row>
      <xdr:rowOff>28068</xdr:rowOff>
    </xdr:to>
    <xdr:sp macro="" textlink="">
      <xdr:nvSpPr>
        <xdr:cNvPr id="186" name="ZoneTexte 100">
          <a:extLst>
            <a:ext uri="{FF2B5EF4-FFF2-40B4-BE49-F238E27FC236}">
              <a16:creationId xmlns:a16="http://schemas.microsoft.com/office/drawing/2014/main" id="{3AB0BB5B-A0F7-4780-8B99-8FC2AAD16D31}"/>
            </a:ext>
          </a:extLst>
        </xdr:cNvPr>
        <xdr:cNvSpPr txBox="1"/>
      </xdr:nvSpPr>
      <xdr:spPr>
        <a:xfrm>
          <a:off x="1694199" y="4586628"/>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1314524</xdr:colOff>
      <xdr:row>187</xdr:row>
      <xdr:rowOff>26173</xdr:rowOff>
    </xdr:from>
    <xdr:to>
      <xdr:col>17</xdr:col>
      <xdr:colOff>1654028</xdr:colOff>
      <xdr:row>188</xdr:row>
      <xdr:rowOff>28068</xdr:rowOff>
    </xdr:to>
    <xdr:sp macro="" textlink="">
      <xdr:nvSpPr>
        <xdr:cNvPr id="198" name="ZoneTexte 101">
          <a:extLst>
            <a:ext uri="{FF2B5EF4-FFF2-40B4-BE49-F238E27FC236}">
              <a16:creationId xmlns:a16="http://schemas.microsoft.com/office/drawing/2014/main" id="{23F66939-AD02-4B70-ACED-E47EE77CE5D8}"/>
            </a:ext>
          </a:extLst>
        </xdr:cNvPr>
        <xdr:cNvSpPr txBox="1"/>
      </xdr:nvSpPr>
      <xdr:spPr>
        <a:xfrm>
          <a:off x="9481201" y="4586628"/>
          <a:ext cx="295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17</xdr:col>
      <xdr:colOff>410389</xdr:colOff>
      <xdr:row>102</xdr:row>
      <xdr:rowOff>156702</xdr:rowOff>
    </xdr:from>
    <xdr:to>
      <xdr:col>17</xdr:col>
      <xdr:colOff>648514</xdr:colOff>
      <xdr:row>110</xdr:row>
      <xdr:rowOff>124557</xdr:rowOff>
    </xdr:to>
    <xdr:sp macro="" textlink="Text!C557">
      <xdr:nvSpPr>
        <xdr:cNvPr id="262" name="Textfeld 67">
          <a:extLst>
            <a:ext uri="{FF2B5EF4-FFF2-40B4-BE49-F238E27FC236}">
              <a16:creationId xmlns:a16="http://schemas.microsoft.com/office/drawing/2014/main" id="{AFA7A8A6-F965-AD00-041B-97502D6E2394}"/>
            </a:ext>
          </a:extLst>
        </xdr:cNvPr>
        <xdr:cNvSpPr txBox="1"/>
      </xdr:nvSpPr>
      <xdr:spPr>
        <a:xfrm rot="16200000">
          <a:off x="8375732" y="22833394"/>
          <a:ext cx="747372"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997271</xdr:colOff>
      <xdr:row>102</xdr:row>
      <xdr:rowOff>147946</xdr:rowOff>
    </xdr:from>
    <xdr:to>
      <xdr:col>17</xdr:col>
      <xdr:colOff>1154225</xdr:colOff>
      <xdr:row>110</xdr:row>
      <xdr:rowOff>118241</xdr:rowOff>
    </xdr:to>
    <xdr:sp macro="" textlink="Text!C559">
      <xdr:nvSpPr>
        <xdr:cNvPr id="261" name="Textfeld 67">
          <a:extLst>
            <a:ext uri="{FF2B5EF4-FFF2-40B4-BE49-F238E27FC236}">
              <a16:creationId xmlns:a16="http://schemas.microsoft.com/office/drawing/2014/main" id="{F74BBECC-D905-6F33-705D-3FB1CCE9FF70}"/>
            </a:ext>
          </a:extLst>
        </xdr:cNvPr>
        <xdr:cNvSpPr txBox="1"/>
      </xdr:nvSpPr>
      <xdr:spPr>
        <a:xfrm rot="16200000">
          <a:off x="8920808" y="22866444"/>
          <a:ext cx="749812" cy="156954"/>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273337</xdr:colOff>
      <xdr:row>102</xdr:row>
      <xdr:rowOff>26173</xdr:rowOff>
    </xdr:from>
    <xdr:to>
      <xdr:col>17</xdr:col>
      <xdr:colOff>510005</xdr:colOff>
      <xdr:row>103</xdr:row>
      <xdr:rowOff>28068</xdr:rowOff>
    </xdr:to>
    <xdr:sp macro="" textlink="">
      <xdr:nvSpPr>
        <xdr:cNvPr id="135" name="ZoneTexte 98">
          <a:extLst>
            <a:ext uri="{FF2B5EF4-FFF2-40B4-BE49-F238E27FC236}">
              <a16:creationId xmlns:a16="http://schemas.microsoft.com/office/drawing/2014/main" id="{B1170AFC-BD24-4074-A9B3-EE8C2AD90713}"/>
            </a:ext>
          </a:extLst>
        </xdr:cNvPr>
        <xdr:cNvSpPr txBox="1"/>
      </xdr:nvSpPr>
      <xdr:spPr>
        <a:xfrm>
          <a:off x="8493303" y="22448242"/>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17</xdr:col>
      <xdr:colOff>541747</xdr:colOff>
      <xdr:row>102</xdr:row>
      <xdr:rowOff>26173</xdr:rowOff>
    </xdr:from>
    <xdr:to>
      <xdr:col>17</xdr:col>
      <xdr:colOff>778415</xdr:colOff>
      <xdr:row>103</xdr:row>
      <xdr:rowOff>28068</xdr:rowOff>
    </xdr:to>
    <xdr:sp macro="" textlink="">
      <xdr:nvSpPr>
        <xdr:cNvPr id="136" name="ZoneTexte 99">
          <a:extLst>
            <a:ext uri="{FF2B5EF4-FFF2-40B4-BE49-F238E27FC236}">
              <a16:creationId xmlns:a16="http://schemas.microsoft.com/office/drawing/2014/main" id="{7167BED3-530B-4497-9A8A-9DE0888C5C62}"/>
            </a:ext>
          </a:extLst>
        </xdr:cNvPr>
        <xdr:cNvSpPr txBox="1"/>
      </xdr:nvSpPr>
      <xdr:spPr>
        <a:xfrm>
          <a:off x="9025347" y="2964892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17</xdr:col>
      <xdr:colOff>644383</xdr:colOff>
      <xdr:row>103</xdr:row>
      <xdr:rowOff>2</xdr:rowOff>
    </xdr:from>
    <xdr:to>
      <xdr:col>17</xdr:col>
      <xdr:colOff>644383</xdr:colOff>
      <xdr:row>111</xdr:row>
      <xdr:rowOff>0</xdr:rowOff>
    </xdr:to>
    <xdr:cxnSp macro="">
      <xdr:nvCxnSpPr>
        <xdr:cNvPr id="130" name="Connecteur droit 74">
          <a:extLst>
            <a:ext uri="{FF2B5EF4-FFF2-40B4-BE49-F238E27FC236}">
              <a16:creationId xmlns:a16="http://schemas.microsoft.com/office/drawing/2014/main" id="{B47F369B-3DB9-4050-BBE3-2BC4C45820B8}"/>
            </a:ext>
          </a:extLst>
        </xdr:cNvPr>
        <xdr:cNvCxnSpPr/>
      </xdr:nvCxnSpPr>
      <xdr:spPr>
        <a:xfrm flipV="1">
          <a:off x="8864349" y="22676071"/>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825045</xdr:colOff>
      <xdr:row>102</xdr:row>
      <xdr:rowOff>26173</xdr:rowOff>
    </xdr:from>
    <xdr:to>
      <xdr:col>17</xdr:col>
      <xdr:colOff>1004563</xdr:colOff>
      <xdr:row>103</xdr:row>
      <xdr:rowOff>28068</xdr:rowOff>
    </xdr:to>
    <xdr:sp macro="" textlink="">
      <xdr:nvSpPr>
        <xdr:cNvPr id="137" name="ZoneTexte 100">
          <a:extLst>
            <a:ext uri="{FF2B5EF4-FFF2-40B4-BE49-F238E27FC236}">
              <a16:creationId xmlns:a16="http://schemas.microsoft.com/office/drawing/2014/main" id="{4A0E00A0-FA03-47D5-B42C-C67A0570CA4B}"/>
            </a:ext>
          </a:extLst>
        </xdr:cNvPr>
        <xdr:cNvSpPr txBox="1"/>
      </xdr:nvSpPr>
      <xdr:spPr>
        <a:xfrm>
          <a:off x="9045011" y="22448242"/>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clientData/>
  </xdr:twoCellAnchor>
  <xdr:twoCellAnchor>
    <xdr:from>
      <xdr:col>14</xdr:col>
      <xdr:colOff>622705</xdr:colOff>
      <xdr:row>103</xdr:row>
      <xdr:rowOff>26278</xdr:rowOff>
    </xdr:from>
    <xdr:to>
      <xdr:col>14</xdr:col>
      <xdr:colOff>622705</xdr:colOff>
      <xdr:row>111</xdr:row>
      <xdr:rowOff>26276</xdr:rowOff>
    </xdr:to>
    <xdr:cxnSp macro="">
      <xdr:nvCxnSpPr>
        <xdr:cNvPr id="264" name="Connecteur droit 74">
          <a:extLst>
            <a:ext uri="{FF2B5EF4-FFF2-40B4-BE49-F238E27FC236}">
              <a16:creationId xmlns:a16="http://schemas.microsoft.com/office/drawing/2014/main" id="{046DEB75-ECE7-AC86-55D9-2D83DC245DBB}"/>
            </a:ext>
          </a:extLst>
        </xdr:cNvPr>
        <xdr:cNvCxnSpPr/>
      </xdr:nvCxnSpPr>
      <xdr:spPr>
        <a:xfrm flipV="1">
          <a:off x="7060291" y="22702347"/>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1042131</xdr:colOff>
      <xdr:row>102</xdr:row>
      <xdr:rowOff>26173</xdr:rowOff>
    </xdr:from>
    <xdr:to>
      <xdr:col>19</xdr:col>
      <xdr:colOff>87768</xdr:colOff>
      <xdr:row>103</xdr:row>
      <xdr:rowOff>28068</xdr:rowOff>
    </xdr:to>
    <xdr:sp macro="" textlink="">
      <xdr:nvSpPr>
        <xdr:cNvPr id="144" name="ZoneTexte 101">
          <a:extLst>
            <a:ext uri="{FF2B5EF4-FFF2-40B4-BE49-F238E27FC236}">
              <a16:creationId xmlns:a16="http://schemas.microsoft.com/office/drawing/2014/main" id="{81940CF5-198A-2CA7-29DF-265C6FD0745D}"/>
            </a:ext>
          </a:extLst>
        </xdr:cNvPr>
        <xdr:cNvSpPr txBox="1"/>
      </xdr:nvSpPr>
      <xdr:spPr>
        <a:xfrm>
          <a:off x="9262097" y="22448242"/>
          <a:ext cx="451395"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17</xdr:col>
      <xdr:colOff>1196176</xdr:colOff>
      <xdr:row>103</xdr:row>
      <xdr:rowOff>2</xdr:rowOff>
    </xdr:from>
    <xdr:to>
      <xdr:col>17</xdr:col>
      <xdr:colOff>1196176</xdr:colOff>
      <xdr:row>111</xdr:row>
      <xdr:rowOff>0</xdr:rowOff>
    </xdr:to>
    <xdr:cxnSp macro="">
      <xdr:nvCxnSpPr>
        <xdr:cNvPr id="265" name="Connecteur droit 74">
          <a:extLst>
            <a:ext uri="{FF2B5EF4-FFF2-40B4-BE49-F238E27FC236}">
              <a16:creationId xmlns:a16="http://schemas.microsoft.com/office/drawing/2014/main" id="{F70E5DDE-CC06-F022-5BDE-C05408A96252}"/>
            </a:ext>
          </a:extLst>
        </xdr:cNvPr>
        <xdr:cNvCxnSpPr/>
      </xdr:nvCxnSpPr>
      <xdr:spPr>
        <a:xfrm flipV="1">
          <a:off x="9416142" y="22676071"/>
          <a:ext cx="0" cy="652515"/>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22154</xdr:colOff>
      <xdr:row>276</xdr:row>
      <xdr:rowOff>194448</xdr:rowOff>
    </xdr:from>
    <xdr:to>
      <xdr:col>16</xdr:col>
      <xdr:colOff>357846</xdr:colOff>
      <xdr:row>287</xdr:row>
      <xdr:rowOff>23091</xdr:rowOff>
    </xdr:to>
    <xdr:grpSp>
      <xdr:nvGrpSpPr>
        <xdr:cNvPr id="281" name="Gruppieren 280">
          <a:extLst>
            <a:ext uri="{FF2B5EF4-FFF2-40B4-BE49-F238E27FC236}">
              <a16:creationId xmlns:a16="http://schemas.microsoft.com/office/drawing/2014/main" id="{CB215712-2B7E-41F5-8334-C32E7DF65973}"/>
            </a:ext>
          </a:extLst>
        </xdr:cNvPr>
        <xdr:cNvGrpSpPr/>
      </xdr:nvGrpSpPr>
      <xdr:grpSpPr>
        <a:xfrm>
          <a:off x="6065860" y="32698765"/>
          <a:ext cx="2128633" cy="0"/>
          <a:chOff x="5922870" y="33579573"/>
          <a:chExt cx="2141154" cy="875527"/>
        </a:xfrm>
      </xdr:grpSpPr>
      <xdr:grpSp>
        <xdr:nvGrpSpPr>
          <xdr:cNvPr id="282" name="Gruppieren 281">
            <a:extLst>
              <a:ext uri="{FF2B5EF4-FFF2-40B4-BE49-F238E27FC236}">
                <a16:creationId xmlns:a16="http://schemas.microsoft.com/office/drawing/2014/main" id="{7175D0E5-D426-B2AC-6BE1-537BB8776175}"/>
              </a:ext>
            </a:extLst>
          </xdr:cNvPr>
          <xdr:cNvGrpSpPr/>
        </xdr:nvGrpSpPr>
        <xdr:grpSpPr>
          <a:xfrm>
            <a:off x="6031192" y="33691945"/>
            <a:ext cx="1568450" cy="763155"/>
            <a:chOff x="6031192" y="33691945"/>
            <a:chExt cx="1568450" cy="763155"/>
          </a:xfrm>
        </xdr:grpSpPr>
        <xdr:sp macro="" textlink="Text!C558">
          <xdr:nvSpPr>
            <xdr:cNvPr id="289" name="Textfeld 67">
              <a:extLst>
                <a:ext uri="{FF2B5EF4-FFF2-40B4-BE49-F238E27FC236}">
                  <a16:creationId xmlns:a16="http://schemas.microsoft.com/office/drawing/2014/main" id="{F4F221FE-66DF-5AB5-4B59-DABA4A5B5E24}"/>
                </a:ext>
              </a:extLst>
            </xdr:cNvPr>
            <xdr:cNvSpPr txBox="1"/>
          </xdr:nvSpPr>
          <xdr:spPr>
            <a:xfrm rot="16200000">
              <a:off x="6828561" y="33912075"/>
              <a:ext cx="742553"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sp macro="" textlink="Text!C559">
          <xdr:nvSpPr>
            <xdr:cNvPr id="290" name="Textfeld 67">
              <a:extLst>
                <a:ext uri="{FF2B5EF4-FFF2-40B4-BE49-F238E27FC236}">
                  <a16:creationId xmlns:a16="http://schemas.microsoft.com/office/drawing/2014/main" id="{642D9CF9-182D-1C52-3098-DA2CA4EA130D}"/>
                </a:ext>
              </a:extLst>
            </xdr:cNvPr>
            <xdr:cNvSpPr txBox="1"/>
          </xdr:nvSpPr>
          <xdr:spPr>
            <a:xfrm rot="16200000">
              <a:off x="7103664" y="33951649"/>
              <a:ext cx="744995" cy="236506"/>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sp macro="" textlink="Text!C556">
          <xdr:nvSpPr>
            <xdr:cNvPr id="291" name="Textfeld 67">
              <a:extLst>
                <a:ext uri="{FF2B5EF4-FFF2-40B4-BE49-F238E27FC236}">
                  <a16:creationId xmlns:a16="http://schemas.microsoft.com/office/drawing/2014/main" id="{8B4B49F4-8F9C-108C-E6CB-910AD0D904B2}"/>
                </a:ext>
              </a:extLst>
            </xdr:cNvPr>
            <xdr:cNvSpPr txBox="1"/>
          </xdr:nvSpPr>
          <xdr:spPr>
            <a:xfrm rot="16200000">
              <a:off x="6067978" y="33664038"/>
              <a:ext cx="744995" cy="800809"/>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sp macro="" textlink="Text!C557">
          <xdr:nvSpPr>
            <xdr:cNvPr id="292" name="Textfeld 67">
              <a:extLst>
                <a:ext uri="{FF2B5EF4-FFF2-40B4-BE49-F238E27FC236}">
                  <a16:creationId xmlns:a16="http://schemas.microsoft.com/office/drawing/2014/main" id="{09C69303-53B0-5DB3-D2A5-E05835F91843}"/>
                </a:ext>
              </a:extLst>
            </xdr:cNvPr>
            <xdr:cNvSpPr txBox="1"/>
          </xdr:nvSpPr>
          <xdr:spPr>
            <a:xfrm rot="16200000">
              <a:off x="6558259" y="33955967"/>
              <a:ext cx="742555"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xnSp macro="">
          <xdr:nvCxnSpPr>
            <xdr:cNvPr id="293" name="Connecteur droit 74">
              <a:extLst>
                <a:ext uri="{FF2B5EF4-FFF2-40B4-BE49-F238E27FC236}">
                  <a16:creationId xmlns:a16="http://schemas.microsoft.com/office/drawing/2014/main" id="{C6EC83B1-E497-068C-5F0F-28EBB93D9861}"/>
                </a:ext>
              </a:extLst>
            </xdr:cNvPr>
            <xdr:cNvCxnSpPr/>
          </xdr:nvCxnSpPr>
          <xdr:spPr>
            <a:xfrm flipV="1">
              <a:off x="7046425"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294" name="Connecteur droit 78">
              <a:extLst>
                <a:ext uri="{FF2B5EF4-FFF2-40B4-BE49-F238E27FC236}">
                  <a16:creationId xmlns:a16="http://schemas.microsoft.com/office/drawing/2014/main" id="{DF61E4B3-D387-F543-8173-1C39EFB10E20}"/>
                </a:ext>
              </a:extLst>
            </xdr:cNvPr>
            <xdr:cNvCxnSpPr/>
          </xdr:nvCxnSpPr>
          <xdr:spPr>
            <a:xfrm flipV="1">
              <a:off x="75996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295" name="Connecteur droit 78">
              <a:extLst>
                <a:ext uri="{FF2B5EF4-FFF2-40B4-BE49-F238E27FC236}">
                  <a16:creationId xmlns:a16="http://schemas.microsoft.com/office/drawing/2014/main" id="{0C6E4778-6E0C-6F74-C7BC-C1E5F6BBEA58}"/>
                </a:ext>
              </a:extLst>
            </xdr:cNvPr>
            <xdr:cNvCxnSpPr/>
          </xdr:nvCxnSpPr>
          <xdr:spPr>
            <a:xfrm flipV="1">
              <a:off x="73583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296" name="Connecteur droit 78">
              <a:extLst>
                <a:ext uri="{FF2B5EF4-FFF2-40B4-BE49-F238E27FC236}">
                  <a16:creationId xmlns:a16="http://schemas.microsoft.com/office/drawing/2014/main" id="{928921F9-6FE7-4517-2644-890A34170AD8}"/>
                </a:ext>
              </a:extLst>
            </xdr:cNvPr>
            <xdr:cNvCxnSpPr/>
          </xdr:nvCxnSpPr>
          <xdr:spPr>
            <a:xfrm flipV="1">
              <a:off x="68122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297" name="Connecteur droit 78">
              <a:extLst>
                <a:ext uri="{FF2B5EF4-FFF2-40B4-BE49-F238E27FC236}">
                  <a16:creationId xmlns:a16="http://schemas.microsoft.com/office/drawing/2014/main" id="{3D2105F9-B270-39C6-DEBA-673CD27AD0EE}"/>
                </a:ext>
              </a:extLst>
            </xdr:cNvPr>
            <xdr:cNvCxnSpPr/>
          </xdr:nvCxnSpPr>
          <xdr:spPr>
            <a:xfrm flipV="1">
              <a:off x="603119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grpSp>
      <xdr:sp macro="" textlink="">
        <xdr:nvSpPr>
          <xdr:cNvPr id="283" name="ZoneTexte 57">
            <a:extLst>
              <a:ext uri="{FF2B5EF4-FFF2-40B4-BE49-F238E27FC236}">
                <a16:creationId xmlns:a16="http://schemas.microsoft.com/office/drawing/2014/main" id="{B33D1FB9-12AA-CD93-99BB-3DB912FD87F2}"/>
              </a:ext>
            </a:extLst>
          </xdr:cNvPr>
          <xdr:cNvSpPr txBox="1"/>
        </xdr:nvSpPr>
        <xdr:spPr>
          <a:xfrm>
            <a:off x="5922870" y="33579573"/>
            <a:ext cx="387626"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0</a:t>
            </a:r>
          </a:p>
        </xdr:txBody>
      </xdr:sp>
      <xdr:sp macro="" textlink="">
        <xdr:nvSpPr>
          <xdr:cNvPr id="284" name="ZoneTexte 98">
            <a:extLst>
              <a:ext uri="{FF2B5EF4-FFF2-40B4-BE49-F238E27FC236}">
                <a16:creationId xmlns:a16="http://schemas.microsoft.com/office/drawing/2014/main" id="{1E3E8660-275F-5DCB-C51D-268481B95CB1}"/>
              </a:ext>
            </a:extLst>
          </xdr:cNvPr>
          <xdr:cNvSpPr txBox="1"/>
        </xdr:nvSpPr>
        <xdr:spPr>
          <a:xfrm>
            <a:off x="6679007" y="3357957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sp macro="" textlink="">
        <xdr:nvSpPr>
          <xdr:cNvPr id="285" name="ZoneTexte 99">
            <a:extLst>
              <a:ext uri="{FF2B5EF4-FFF2-40B4-BE49-F238E27FC236}">
                <a16:creationId xmlns:a16="http://schemas.microsoft.com/office/drawing/2014/main" id="{D538A79D-570E-2B65-EB4F-7A6F8969D6E1}"/>
              </a:ext>
            </a:extLst>
          </xdr:cNvPr>
          <xdr:cNvSpPr txBox="1"/>
        </xdr:nvSpPr>
        <xdr:spPr>
          <a:xfrm>
            <a:off x="6925084" y="3357957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sp macro="" textlink="">
        <xdr:nvSpPr>
          <xdr:cNvPr id="286" name="ZoneTexte 100">
            <a:extLst>
              <a:ext uri="{FF2B5EF4-FFF2-40B4-BE49-F238E27FC236}">
                <a16:creationId xmlns:a16="http://schemas.microsoft.com/office/drawing/2014/main" id="{AA69AA68-B19C-B1EE-4AED-4C1220320643}"/>
              </a:ext>
            </a:extLst>
          </xdr:cNvPr>
          <xdr:cNvSpPr txBox="1"/>
        </xdr:nvSpPr>
        <xdr:spPr>
          <a:xfrm>
            <a:off x="7227213" y="33579573"/>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sp macro="" textlink="">
        <xdr:nvSpPr>
          <xdr:cNvPr id="287" name="ZoneTexte 103">
            <a:extLst>
              <a:ext uri="{FF2B5EF4-FFF2-40B4-BE49-F238E27FC236}">
                <a16:creationId xmlns:a16="http://schemas.microsoft.com/office/drawing/2014/main" id="{A0B70F2C-C090-3E7E-7E02-668C72D2091D}"/>
              </a:ext>
            </a:extLst>
          </xdr:cNvPr>
          <xdr:cNvSpPr txBox="1"/>
        </xdr:nvSpPr>
        <xdr:spPr>
          <a:xfrm>
            <a:off x="7715551" y="33579573"/>
            <a:ext cx="348473"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a:t>
            </a:r>
          </a:p>
        </xdr:txBody>
      </xdr:sp>
      <xdr:sp macro="" textlink="">
        <xdr:nvSpPr>
          <xdr:cNvPr id="288" name="ZoneTexte 101">
            <a:extLst>
              <a:ext uri="{FF2B5EF4-FFF2-40B4-BE49-F238E27FC236}">
                <a16:creationId xmlns:a16="http://schemas.microsoft.com/office/drawing/2014/main" id="{FA8D62D8-BFAC-BB83-FE4E-B20F8B4EF87D}"/>
              </a:ext>
            </a:extLst>
          </xdr:cNvPr>
          <xdr:cNvSpPr txBox="1"/>
        </xdr:nvSpPr>
        <xdr:spPr>
          <a:xfrm>
            <a:off x="7431161" y="33579573"/>
            <a:ext cx="450629"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grpSp>
    <xdr:clientData/>
  </xdr:twoCellAnchor>
  <xdr:twoCellAnchor>
    <xdr:from>
      <xdr:col>13</xdr:col>
      <xdr:colOff>0</xdr:colOff>
      <xdr:row>200</xdr:row>
      <xdr:rowOff>0</xdr:rowOff>
    </xdr:from>
    <xdr:to>
      <xdr:col>14</xdr:col>
      <xdr:colOff>1258356</xdr:colOff>
      <xdr:row>201</xdr:row>
      <xdr:rowOff>2967</xdr:rowOff>
    </xdr:to>
    <xdr:graphicFrame macro="">
      <xdr:nvGraphicFramePr>
        <xdr:cNvPr id="304" name="Diagramm 303">
          <a:extLst>
            <a:ext uri="{FF2B5EF4-FFF2-40B4-BE49-F238E27FC236}">
              <a16:creationId xmlns:a16="http://schemas.microsoft.com/office/drawing/2014/main" id="{B7E41764-63A1-4F03-BE60-2A10FF3EFD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13</xdr:col>
      <xdr:colOff>0</xdr:colOff>
      <xdr:row>202</xdr:row>
      <xdr:rowOff>0</xdr:rowOff>
    </xdr:from>
    <xdr:to>
      <xdr:col>14</xdr:col>
      <xdr:colOff>1258356</xdr:colOff>
      <xdr:row>203</xdr:row>
      <xdr:rowOff>205</xdr:rowOff>
    </xdr:to>
    <xdr:graphicFrame macro="">
      <xdr:nvGraphicFramePr>
        <xdr:cNvPr id="305" name="Diagramm 304">
          <a:extLst>
            <a:ext uri="{FF2B5EF4-FFF2-40B4-BE49-F238E27FC236}">
              <a16:creationId xmlns:a16="http://schemas.microsoft.com/office/drawing/2014/main" id="{097FA648-CE52-4D04-9073-2E70E014BC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13</xdr:col>
      <xdr:colOff>0</xdr:colOff>
      <xdr:row>204</xdr:row>
      <xdr:rowOff>0</xdr:rowOff>
    </xdr:from>
    <xdr:to>
      <xdr:col>14</xdr:col>
      <xdr:colOff>1258356</xdr:colOff>
      <xdr:row>205</xdr:row>
      <xdr:rowOff>600</xdr:rowOff>
    </xdr:to>
    <xdr:graphicFrame macro="">
      <xdr:nvGraphicFramePr>
        <xdr:cNvPr id="306" name="Diagramm 305">
          <a:extLst>
            <a:ext uri="{FF2B5EF4-FFF2-40B4-BE49-F238E27FC236}">
              <a16:creationId xmlns:a16="http://schemas.microsoft.com/office/drawing/2014/main" id="{3C8AC02D-296E-4BC0-98FF-AF413C741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13</xdr:col>
      <xdr:colOff>0</xdr:colOff>
      <xdr:row>206</xdr:row>
      <xdr:rowOff>0</xdr:rowOff>
    </xdr:from>
    <xdr:to>
      <xdr:col>14</xdr:col>
      <xdr:colOff>1258356</xdr:colOff>
      <xdr:row>206</xdr:row>
      <xdr:rowOff>381205</xdr:rowOff>
    </xdr:to>
    <xdr:graphicFrame macro="">
      <xdr:nvGraphicFramePr>
        <xdr:cNvPr id="307" name="Diagramm 270">
          <a:extLst>
            <a:ext uri="{FF2B5EF4-FFF2-40B4-BE49-F238E27FC236}">
              <a16:creationId xmlns:a16="http://schemas.microsoft.com/office/drawing/2014/main" id="{AE1B2D5A-34DE-41DD-AF1A-F724652C93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13</xdr:col>
      <xdr:colOff>0</xdr:colOff>
      <xdr:row>291</xdr:row>
      <xdr:rowOff>0</xdr:rowOff>
    </xdr:from>
    <xdr:to>
      <xdr:col>14</xdr:col>
      <xdr:colOff>1257715</xdr:colOff>
      <xdr:row>302</xdr:row>
      <xdr:rowOff>122758</xdr:rowOff>
    </xdr:to>
    <xdr:graphicFrame macro="">
      <xdr:nvGraphicFramePr>
        <xdr:cNvPr id="308" name="Diagramm 307">
          <a:extLst>
            <a:ext uri="{FF2B5EF4-FFF2-40B4-BE49-F238E27FC236}">
              <a16:creationId xmlns:a16="http://schemas.microsoft.com/office/drawing/2014/main" id="{42678465-37D1-465B-B6E6-652F00370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13</xdr:col>
      <xdr:colOff>0</xdr:colOff>
      <xdr:row>303</xdr:row>
      <xdr:rowOff>0</xdr:rowOff>
    </xdr:from>
    <xdr:to>
      <xdr:col>14</xdr:col>
      <xdr:colOff>1257715</xdr:colOff>
      <xdr:row>311</xdr:row>
      <xdr:rowOff>1785</xdr:rowOff>
    </xdr:to>
    <xdr:graphicFrame macro="">
      <xdr:nvGraphicFramePr>
        <xdr:cNvPr id="309" name="Diagramm 308">
          <a:extLst>
            <a:ext uri="{FF2B5EF4-FFF2-40B4-BE49-F238E27FC236}">
              <a16:creationId xmlns:a16="http://schemas.microsoft.com/office/drawing/2014/main" id="{9498540B-BE4A-43D0-B1CB-597A137A8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13</xdr:col>
      <xdr:colOff>0</xdr:colOff>
      <xdr:row>289</xdr:row>
      <xdr:rowOff>0</xdr:rowOff>
    </xdr:from>
    <xdr:to>
      <xdr:col>14</xdr:col>
      <xdr:colOff>1258356</xdr:colOff>
      <xdr:row>289</xdr:row>
      <xdr:rowOff>374400</xdr:rowOff>
    </xdr:to>
    <xdr:graphicFrame macro="">
      <xdr:nvGraphicFramePr>
        <xdr:cNvPr id="318" name="Diagramm 317">
          <a:extLst>
            <a:ext uri="{FF2B5EF4-FFF2-40B4-BE49-F238E27FC236}">
              <a16:creationId xmlns:a16="http://schemas.microsoft.com/office/drawing/2014/main" id="{ED757603-96DF-4B53-A2D5-9C3B23570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13</xdr:col>
      <xdr:colOff>0</xdr:colOff>
      <xdr:row>313</xdr:row>
      <xdr:rowOff>0</xdr:rowOff>
    </xdr:from>
    <xdr:to>
      <xdr:col>14</xdr:col>
      <xdr:colOff>1258356</xdr:colOff>
      <xdr:row>313</xdr:row>
      <xdr:rowOff>374400</xdr:rowOff>
    </xdr:to>
    <xdr:graphicFrame macro="">
      <xdr:nvGraphicFramePr>
        <xdr:cNvPr id="319" name="Diagramm 318">
          <a:extLst>
            <a:ext uri="{FF2B5EF4-FFF2-40B4-BE49-F238E27FC236}">
              <a16:creationId xmlns:a16="http://schemas.microsoft.com/office/drawing/2014/main" id="{30AA0567-DA9F-40CE-950F-E6DC551320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13</xdr:col>
      <xdr:colOff>0</xdr:colOff>
      <xdr:row>315</xdr:row>
      <xdr:rowOff>0</xdr:rowOff>
    </xdr:from>
    <xdr:to>
      <xdr:col>14</xdr:col>
      <xdr:colOff>1257715</xdr:colOff>
      <xdr:row>326</xdr:row>
      <xdr:rowOff>122757</xdr:rowOff>
    </xdr:to>
    <xdr:graphicFrame macro="">
      <xdr:nvGraphicFramePr>
        <xdr:cNvPr id="320" name="Diagramm 319">
          <a:extLst>
            <a:ext uri="{FF2B5EF4-FFF2-40B4-BE49-F238E27FC236}">
              <a16:creationId xmlns:a16="http://schemas.microsoft.com/office/drawing/2014/main" id="{80E971D5-F952-444C-80A3-347A704B01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13</xdr:col>
      <xdr:colOff>0</xdr:colOff>
      <xdr:row>328</xdr:row>
      <xdr:rowOff>0</xdr:rowOff>
    </xdr:from>
    <xdr:to>
      <xdr:col>14</xdr:col>
      <xdr:colOff>1258356</xdr:colOff>
      <xdr:row>328</xdr:row>
      <xdr:rowOff>374400</xdr:rowOff>
    </xdr:to>
    <xdr:graphicFrame macro="">
      <xdr:nvGraphicFramePr>
        <xdr:cNvPr id="321" name="Diagramm 320">
          <a:extLst>
            <a:ext uri="{FF2B5EF4-FFF2-40B4-BE49-F238E27FC236}">
              <a16:creationId xmlns:a16="http://schemas.microsoft.com/office/drawing/2014/main" id="{6B905BEC-C75D-4E68-8F51-9A37EB1E09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13</xdr:col>
      <xdr:colOff>0</xdr:colOff>
      <xdr:row>350</xdr:row>
      <xdr:rowOff>0</xdr:rowOff>
    </xdr:from>
    <xdr:to>
      <xdr:col>14</xdr:col>
      <xdr:colOff>1258356</xdr:colOff>
      <xdr:row>350</xdr:row>
      <xdr:rowOff>374400</xdr:rowOff>
    </xdr:to>
    <xdr:graphicFrame macro="">
      <xdr:nvGraphicFramePr>
        <xdr:cNvPr id="322" name="Diagramm 270">
          <a:extLst>
            <a:ext uri="{FF2B5EF4-FFF2-40B4-BE49-F238E27FC236}">
              <a16:creationId xmlns:a16="http://schemas.microsoft.com/office/drawing/2014/main" id="{9989C38F-9559-441F-99A3-95C3A4F0CB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13</xdr:col>
      <xdr:colOff>0</xdr:colOff>
      <xdr:row>337</xdr:row>
      <xdr:rowOff>126999</xdr:rowOff>
    </xdr:from>
    <xdr:to>
      <xdr:col>14</xdr:col>
      <xdr:colOff>1257715</xdr:colOff>
      <xdr:row>344</xdr:row>
      <xdr:rowOff>124399</xdr:rowOff>
    </xdr:to>
    <xdr:graphicFrame macro="">
      <xdr:nvGraphicFramePr>
        <xdr:cNvPr id="325" name="Diagramm 324">
          <a:extLst>
            <a:ext uri="{FF2B5EF4-FFF2-40B4-BE49-F238E27FC236}">
              <a16:creationId xmlns:a16="http://schemas.microsoft.com/office/drawing/2014/main" id="{8936BA62-11F8-4132-85C5-9F96B3B59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12</xdr:col>
      <xdr:colOff>101599</xdr:colOff>
      <xdr:row>344</xdr:row>
      <xdr:rowOff>126999</xdr:rowOff>
    </xdr:from>
    <xdr:to>
      <xdr:col>14</xdr:col>
      <xdr:colOff>1259499</xdr:colOff>
      <xdr:row>349</xdr:row>
      <xdr:rowOff>399</xdr:rowOff>
    </xdr:to>
    <xdr:graphicFrame macro="">
      <xdr:nvGraphicFramePr>
        <xdr:cNvPr id="326" name="Diagramm 325">
          <a:extLst>
            <a:ext uri="{FF2B5EF4-FFF2-40B4-BE49-F238E27FC236}">
              <a16:creationId xmlns:a16="http://schemas.microsoft.com/office/drawing/2014/main" id="{8FAC9318-2896-4B51-A899-006B254B4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17</xdr:col>
      <xdr:colOff>641108</xdr:colOff>
      <xdr:row>448</xdr:row>
      <xdr:rowOff>159425</xdr:rowOff>
    </xdr:from>
    <xdr:to>
      <xdr:col>17</xdr:col>
      <xdr:colOff>965334</xdr:colOff>
      <xdr:row>457</xdr:row>
      <xdr:rowOff>278</xdr:rowOff>
    </xdr:to>
    <xdr:sp macro="" textlink="Text!C558">
      <xdr:nvSpPr>
        <xdr:cNvPr id="327" name="Textfeld 67">
          <a:extLst>
            <a:ext uri="{FF2B5EF4-FFF2-40B4-BE49-F238E27FC236}">
              <a16:creationId xmlns:a16="http://schemas.microsoft.com/office/drawing/2014/main" id="{4F2B93BB-FFDB-4F7C-8FB4-DBF0A8DEEB6D}"/>
            </a:ext>
          </a:extLst>
        </xdr:cNvPr>
        <xdr:cNvSpPr txBox="1"/>
      </xdr:nvSpPr>
      <xdr:spPr>
        <a:xfrm rot="16200000">
          <a:off x="8629794" y="22677953"/>
          <a:ext cx="747996" cy="324226"/>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14</xdr:col>
      <xdr:colOff>610044</xdr:colOff>
      <xdr:row>448</xdr:row>
      <xdr:rowOff>156705</xdr:rowOff>
    </xdr:from>
    <xdr:to>
      <xdr:col>16</xdr:col>
      <xdr:colOff>10733</xdr:colOff>
      <xdr:row>456</xdr:row>
      <xdr:rowOff>126999</xdr:rowOff>
    </xdr:to>
    <xdr:sp macro="" textlink="Text!C556">
      <xdr:nvSpPr>
        <xdr:cNvPr id="328" name="Textfeld 67">
          <a:extLst>
            <a:ext uri="{FF2B5EF4-FFF2-40B4-BE49-F238E27FC236}">
              <a16:creationId xmlns:a16="http://schemas.microsoft.com/office/drawing/2014/main" id="{7B4CBFD8-67E9-4D29-B096-950E3A366765}"/>
            </a:ext>
          </a:extLst>
        </xdr:cNvPr>
        <xdr:cNvSpPr txBox="1"/>
      </xdr:nvSpPr>
      <xdr:spPr>
        <a:xfrm rot="16200000">
          <a:off x="7060777" y="22435186"/>
          <a:ext cx="750437" cy="806761"/>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clientData/>
  </xdr:twoCellAnchor>
  <xdr:twoCellAnchor>
    <xdr:from>
      <xdr:col>16</xdr:col>
      <xdr:colOff>7</xdr:colOff>
      <xdr:row>448</xdr:row>
      <xdr:rowOff>156705</xdr:rowOff>
    </xdr:from>
    <xdr:to>
      <xdr:col>17</xdr:col>
      <xdr:colOff>430929</xdr:colOff>
      <xdr:row>456</xdr:row>
      <xdr:rowOff>126999</xdr:rowOff>
    </xdr:to>
    <xdr:sp macro="" textlink="Text!C556">
      <xdr:nvSpPr>
        <xdr:cNvPr id="329" name="Textfeld 67">
          <a:extLst>
            <a:ext uri="{FF2B5EF4-FFF2-40B4-BE49-F238E27FC236}">
              <a16:creationId xmlns:a16="http://schemas.microsoft.com/office/drawing/2014/main" id="{404E9EEE-C3F2-4987-A198-F3FF19998D81}"/>
            </a:ext>
          </a:extLst>
        </xdr:cNvPr>
        <xdr:cNvSpPr txBox="1"/>
      </xdr:nvSpPr>
      <xdr:spPr>
        <a:xfrm rot="16200000">
          <a:off x="7854856" y="22437142"/>
          <a:ext cx="750437" cy="802850"/>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clientData/>
  </xdr:twoCellAnchor>
  <xdr:twoCellAnchor>
    <xdr:from>
      <xdr:col>14</xdr:col>
      <xdr:colOff>72800</xdr:colOff>
      <xdr:row>448</xdr:row>
      <xdr:rowOff>159425</xdr:rowOff>
    </xdr:from>
    <xdr:to>
      <xdr:col>14</xdr:col>
      <xdr:colOff>398711</xdr:colOff>
      <xdr:row>457</xdr:row>
      <xdr:rowOff>278</xdr:rowOff>
    </xdr:to>
    <xdr:sp macro="" textlink="Text!C558">
      <xdr:nvSpPr>
        <xdr:cNvPr id="330" name="Textfeld 67">
          <a:extLst>
            <a:ext uri="{FF2B5EF4-FFF2-40B4-BE49-F238E27FC236}">
              <a16:creationId xmlns:a16="http://schemas.microsoft.com/office/drawing/2014/main" id="{DE5C7E06-5884-4ACA-B171-097D96AC3226}"/>
            </a:ext>
          </a:extLst>
        </xdr:cNvPr>
        <xdr:cNvSpPr txBox="1"/>
      </xdr:nvSpPr>
      <xdr:spPr>
        <a:xfrm rot="16200000">
          <a:off x="6284329" y="22677110"/>
          <a:ext cx="747996"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13</xdr:col>
      <xdr:colOff>180022</xdr:colOff>
      <xdr:row>448</xdr:row>
      <xdr:rowOff>147946</xdr:rowOff>
    </xdr:from>
    <xdr:to>
      <xdr:col>14</xdr:col>
      <xdr:colOff>41878</xdr:colOff>
      <xdr:row>456</xdr:row>
      <xdr:rowOff>118241</xdr:rowOff>
    </xdr:to>
    <xdr:sp macro="" textlink="Text!C559">
      <xdr:nvSpPr>
        <xdr:cNvPr id="331" name="Textfeld 67">
          <a:extLst>
            <a:ext uri="{FF2B5EF4-FFF2-40B4-BE49-F238E27FC236}">
              <a16:creationId xmlns:a16="http://schemas.microsoft.com/office/drawing/2014/main" id="{DA7BE8F3-D0D5-4592-A6D6-95FAC4F30670}"/>
            </a:ext>
          </a:extLst>
        </xdr:cNvPr>
        <xdr:cNvSpPr txBox="1"/>
      </xdr:nvSpPr>
      <xdr:spPr>
        <a:xfrm rot="16200000">
          <a:off x="6013160" y="22753737"/>
          <a:ext cx="750438" cy="15214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3</xdr:col>
      <xdr:colOff>1116926</xdr:colOff>
      <xdr:row>448</xdr:row>
      <xdr:rowOff>26173</xdr:rowOff>
    </xdr:from>
    <xdr:to>
      <xdr:col>3</xdr:col>
      <xdr:colOff>1353594</xdr:colOff>
      <xdr:row>449</xdr:row>
      <xdr:rowOff>28068</xdr:rowOff>
    </xdr:to>
    <xdr:sp macro="" textlink="">
      <xdr:nvSpPr>
        <xdr:cNvPr id="332" name="ZoneTexte 100">
          <a:extLst>
            <a:ext uri="{FF2B5EF4-FFF2-40B4-BE49-F238E27FC236}">
              <a16:creationId xmlns:a16="http://schemas.microsoft.com/office/drawing/2014/main" id="{1FE1F723-B635-4D7F-AC7B-647E9B911498}"/>
            </a:ext>
          </a:extLst>
        </xdr:cNvPr>
        <xdr:cNvSpPr txBox="1"/>
      </xdr:nvSpPr>
      <xdr:spPr>
        <a:xfrm>
          <a:off x="1697497" y="22332816"/>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429822</xdr:colOff>
      <xdr:row>448</xdr:row>
      <xdr:rowOff>156702</xdr:rowOff>
    </xdr:from>
    <xdr:to>
      <xdr:col>17</xdr:col>
      <xdr:colOff>667947</xdr:colOff>
      <xdr:row>456</xdr:row>
      <xdr:rowOff>124557</xdr:rowOff>
    </xdr:to>
    <xdr:sp macro="" textlink="Text!X660">
      <xdr:nvSpPr>
        <xdr:cNvPr id="333" name="Textfeld 67">
          <a:extLst>
            <a:ext uri="{FF2B5EF4-FFF2-40B4-BE49-F238E27FC236}">
              <a16:creationId xmlns:a16="http://schemas.microsoft.com/office/drawing/2014/main" id="{CC7B65C3-DDAF-4C64-A616-910682018026}"/>
            </a:ext>
          </a:extLst>
        </xdr:cNvPr>
        <xdr:cNvSpPr txBox="1"/>
      </xdr:nvSpPr>
      <xdr:spPr>
        <a:xfrm rot="16200000">
          <a:off x="8375457" y="22718281"/>
          <a:ext cx="747998"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 </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954397</xdr:colOff>
      <xdr:row>449</xdr:row>
      <xdr:rowOff>2</xdr:rowOff>
    </xdr:from>
    <xdr:to>
      <xdr:col>17</xdr:col>
      <xdr:colOff>954397</xdr:colOff>
      <xdr:row>457</xdr:row>
      <xdr:rowOff>0</xdr:rowOff>
    </xdr:to>
    <xdr:cxnSp macro="">
      <xdr:nvCxnSpPr>
        <xdr:cNvPr id="334" name="Connecteur droit 76">
          <a:extLst>
            <a:ext uri="{FF2B5EF4-FFF2-40B4-BE49-F238E27FC236}">
              <a16:creationId xmlns:a16="http://schemas.microsoft.com/office/drawing/2014/main" id="{440E8B8A-6AF8-4738-B969-6DF6F8B5F9B1}"/>
            </a:ext>
          </a:extLst>
        </xdr:cNvPr>
        <xdr:cNvCxnSpPr/>
      </xdr:nvCxnSpPr>
      <xdr:spPr>
        <a:xfrm flipV="1">
          <a:off x="9154968" y="22560645"/>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1314524</xdr:colOff>
      <xdr:row>448</xdr:row>
      <xdr:rowOff>26173</xdr:rowOff>
    </xdr:from>
    <xdr:to>
      <xdr:col>17</xdr:col>
      <xdr:colOff>1654028</xdr:colOff>
      <xdr:row>449</xdr:row>
      <xdr:rowOff>28068</xdr:rowOff>
    </xdr:to>
    <xdr:sp macro="" textlink="">
      <xdr:nvSpPr>
        <xdr:cNvPr id="335" name="ZoneTexte 101">
          <a:extLst>
            <a:ext uri="{FF2B5EF4-FFF2-40B4-BE49-F238E27FC236}">
              <a16:creationId xmlns:a16="http://schemas.microsoft.com/office/drawing/2014/main" id="{EC8E0363-EDE0-4DFE-9B1B-6CE1A1EA3D1A}"/>
            </a:ext>
          </a:extLst>
        </xdr:cNvPr>
        <xdr:cNvSpPr txBox="1"/>
      </xdr:nvSpPr>
      <xdr:spPr>
        <a:xfrm>
          <a:off x="9496045" y="22332816"/>
          <a:ext cx="295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18</xdr:col>
      <xdr:colOff>13001</xdr:colOff>
      <xdr:row>448</xdr:row>
      <xdr:rowOff>26173</xdr:rowOff>
    </xdr:from>
    <xdr:to>
      <xdr:col>20</xdr:col>
      <xdr:colOff>140812</xdr:colOff>
      <xdr:row>449</xdr:row>
      <xdr:rowOff>28068</xdr:rowOff>
    </xdr:to>
    <xdr:sp macro="" textlink="">
      <xdr:nvSpPr>
        <xdr:cNvPr id="336" name="ZoneTexte 103">
          <a:extLst>
            <a:ext uri="{FF2B5EF4-FFF2-40B4-BE49-F238E27FC236}">
              <a16:creationId xmlns:a16="http://schemas.microsoft.com/office/drawing/2014/main" id="{74395EBC-70AC-4316-84BA-2B38143E3187}"/>
            </a:ext>
          </a:extLst>
        </xdr:cNvPr>
        <xdr:cNvSpPr txBox="1"/>
      </xdr:nvSpPr>
      <xdr:spPr>
        <a:xfrm>
          <a:off x="9510787" y="22332816"/>
          <a:ext cx="345525"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a:t>
          </a:r>
        </a:p>
      </xdr:txBody>
    </xdr:sp>
    <xdr:clientData/>
  </xdr:twoCellAnchor>
  <xdr:twoCellAnchor>
    <xdr:from>
      <xdr:col>17</xdr:col>
      <xdr:colOff>405492</xdr:colOff>
      <xdr:row>449</xdr:row>
      <xdr:rowOff>2</xdr:rowOff>
    </xdr:from>
    <xdr:to>
      <xdr:col>17</xdr:col>
      <xdr:colOff>405492</xdr:colOff>
      <xdr:row>457</xdr:row>
      <xdr:rowOff>0</xdr:rowOff>
    </xdr:to>
    <xdr:cxnSp macro="">
      <xdr:nvCxnSpPr>
        <xdr:cNvPr id="337" name="Connecteur droit 74">
          <a:extLst>
            <a:ext uri="{FF2B5EF4-FFF2-40B4-BE49-F238E27FC236}">
              <a16:creationId xmlns:a16="http://schemas.microsoft.com/office/drawing/2014/main" id="{9370D412-74A6-493D-BCE7-839A8DBBE475}"/>
            </a:ext>
          </a:extLst>
        </xdr:cNvPr>
        <xdr:cNvCxnSpPr/>
      </xdr:nvCxnSpPr>
      <xdr:spPr>
        <a:xfrm flipV="1">
          <a:off x="8606063" y="22560645"/>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105508</xdr:colOff>
      <xdr:row>449</xdr:row>
      <xdr:rowOff>4381</xdr:rowOff>
    </xdr:from>
    <xdr:to>
      <xdr:col>15</xdr:col>
      <xdr:colOff>105508</xdr:colOff>
      <xdr:row>457</xdr:row>
      <xdr:rowOff>4379</xdr:rowOff>
    </xdr:to>
    <xdr:cxnSp macro="">
      <xdr:nvCxnSpPr>
        <xdr:cNvPr id="338" name="Connecteur droit 74">
          <a:extLst>
            <a:ext uri="{FF2B5EF4-FFF2-40B4-BE49-F238E27FC236}">
              <a16:creationId xmlns:a16="http://schemas.microsoft.com/office/drawing/2014/main" id="{69C326BC-B6A5-4582-888C-38B09ED4E7DE}"/>
            </a:ext>
          </a:extLst>
        </xdr:cNvPr>
        <xdr:cNvCxnSpPr/>
      </xdr:nvCxnSpPr>
      <xdr:spPr>
        <a:xfrm flipV="1">
          <a:off x="7825294" y="22565024"/>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588108</xdr:colOff>
      <xdr:row>449</xdr:row>
      <xdr:rowOff>2</xdr:rowOff>
    </xdr:from>
    <xdr:to>
      <xdr:col>14</xdr:col>
      <xdr:colOff>588108</xdr:colOff>
      <xdr:row>457</xdr:row>
      <xdr:rowOff>0</xdr:rowOff>
    </xdr:to>
    <xdr:cxnSp macro="">
      <xdr:nvCxnSpPr>
        <xdr:cNvPr id="339" name="Connecteur droit 74">
          <a:extLst>
            <a:ext uri="{FF2B5EF4-FFF2-40B4-BE49-F238E27FC236}">
              <a16:creationId xmlns:a16="http://schemas.microsoft.com/office/drawing/2014/main" id="{42536C7E-90C1-4D29-ADD2-57A3520CEE39}"/>
            </a:ext>
          </a:extLst>
        </xdr:cNvPr>
        <xdr:cNvCxnSpPr/>
      </xdr:nvCxnSpPr>
      <xdr:spPr>
        <a:xfrm flipV="1">
          <a:off x="7010679" y="22560645"/>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388657</xdr:colOff>
      <xdr:row>448</xdr:row>
      <xdr:rowOff>156702</xdr:rowOff>
    </xdr:from>
    <xdr:to>
      <xdr:col>14</xdr:col>
      <xdr:colOff>626782</xdr:colOff>
      <xdr:row>456</xdr:row>
      <xdr:rowOff>124557</xdr:rowOff>
    </xdr:to>
    <xdr:sp macro="" textlink="Text!C557">
      <xdr:nvSpPr>
        <xdr:cNvPr id="340" name="Textfeld 67">
          <a:extLst>
            <a:ext uri="{FF2B5EF4-FFF2-40B4-BE49-F238E27FC236}">
              <a16:creationId xmlns:a16="http://schemas.microsoft.com/office/drawing/2014/main" id="{4B64B14D-0893-493F-8D6C-59152A88844A}"/>
            </a:ext>
          </a:extLst>
        </xdr:cNvPr>
        <xdr:cNvSpPr txBox="1"/>
      </xdr:nvSpPr>
      <xdr:spPr>
        <a:xfrm rot="16200000">
          <a:off x="6556292" y="22718281"/>
          <a:ext cx="747998"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14</xdr:col>
      <xdr:colOff>487046</xdr:colOff>
      <xdr:row>448</xdr:row>
      <xdr:rowOff>26173</xdr:rowOff>
    </xdr:from>
    <xdr:to>
      <xdr:col>14</xdr:col>
      <xdr:colOff>723714</xdr:colOff>
      <xdr:row>449</xdr:row>
      <xdr:rowOff>28068</xdr:rowOff>
    </xdr:to>
    <xdr:sp macro="" textlink="">
      <xdr:nvSpPr>
        <xdr:cNvPr id="341" name="ZoneTexte 98">
          <a:extLst>
            <a:ext uri="{FF2B5EF4-FFF2-40B4-BE49-F238E27FC236}">
              <a16:creationId xmlns:a16="http://schemas.microsoft.com/office/drawing/2014/main" id="{6DDACD65-C0D4-48E3-9991-2CCFABECA3A7}"/>
            </a:ext>
          </a:extLst>
        </xdr:cNvPr>
        <xdr:cNvSpPr txBox="1"/>
      </xdr:nvSpPr>
      <xdr:spPr>
        <a:xfrm>
          <a:off x="6909617" y="22332816"/>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14</xdr:col>
      <xdr:colOff>390601</xdr:colOff>
      <xdr:row>449</xdr:row>
      <xdr:rowOff>26278</xdr:rowOff>
    </xdr:from>
    <xdr:to>
      <xdr:col>14</xdr:col>
      <xdr:colOff>390601</xdr:colOff>
      <xdr:row>457</xdr:row>
      <xdr:rowOff>26276</xdr:rowOff>
    </xdr:to>
    <xdr:cxnSp macro="">
      <xdr:nvCxnSpPr>
        <xdr:cNvPr id="342" name="Connecteur droit 74">
          <a:extLst>
            <a:ext uri="{FF2B5EF4-FFF2-40B4-BE49-F238E27FC236}">
              <a16:creationId xmlns:a16="http://schemas.microsoft.com/office/drawing/2014/main" id="{F09E01C8-33AC-4DF7-91D6-A8928A0A0A2A}"/>
            </a:ext>
          </a:extLst>
        </xdr:cNvPr>
        <xdr:cNvCxnSpPr/>
      </xdr:nvCxnSpPr>
      <xdr:spPr>
        <a:xfrm flipV="1">
          <a:off x="6813172" y="22586921"/>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266070</xdr:colOff>
      <xdr:row>448</xdr:row>
      <xdr:rowOff>26173</xdr:rowOff>
    </xdr:from>
    <xdr:to>
      <xdr:col>14</xdr:col>
      <xdr:colOff>502738</xdr:colOff>
      <xdr:row>449</xdr:row>
      <xdr:rowOff>28068</xdr:rowOff>
    </xdr:to>
    <xdr:sp macro="" textlink="">
      <xdr:nvSpPr>
        <xdr:cNvPr id="343" name="ZoneTexte 99">
          <a:extLst>
            <a:ext uri="{FF2B5EF4-FFF2-40B4-BE49-F238E27FC236}">
              <a16:creationId xmlns:a16="http://schemas.microsoft.com/office/drawing/2014/main" id="{ACB62FB2-C113-4B53-974B-D6679346ACAA}"/>
            </a:ext>
          </a:extLst>
        </xdr:cNvPr>
        <xdr:cNvSpPr txBox="1"/>
      </xdr:nvSpPr>
      <xdr:spPr>
        <a:xfrm>
          <a:off x="6688641" y="22332816"/>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14</xdr:col>
      <xdr:colOff>77791</xdr:colOff>
      <xdr:row>449</xdr:row>
      <xdr:rowOff>30657</xdr:rowOff>
    </xdr:from>
    <xdr:to>
      <xdr:col>14</xdr:col>
      <xdr:colOff>77791</xdr:colOff>
      <xdr:row>457</xdr:row>
      <xdr:rowOff>30655</xdr:rowOff>
    </xdr:to>
    <xdr:cxnSp macro="">
      <xdr:nvCxnSpPr>
        <xdr:cNvPr id="344" name="Connecteur droit 76">
          <a:extLst>
            <a:ext uri="{FF2B5EF4-FFF2-40B4-BE49-F238E27FC236}">
              <a16:creationId xmlns:a16="http://schemas.microsoft.com/office/drawing/2014/main" id="{1B83EDA9-13B8-4501-9CE3-C18114A706D0}"/>
            </a:ext>
          </a:extLst>
        </xdr:cNvPr>
        <xdr:cNvCxnSpPr/>
      </xdr:nvCxnSpPr>
      <xdr:spPr>
        <a:xfrm flipV="1">
          <a:off x="6500362" y="22591300"/>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39834</xdr:colOff>
      <xdr:row>448</xdr:row>
      <xdr:rowOff>26173</xdr:rowOff>
    </xdr:from>
    <xdr:to>
      <xdr:col>14</xdr:col>
      <xdr:colOff>138116</xdr:colOff>
      <xdr:row>449</xdr:row>
      <xdr:rowOff>28068</xdr:rowOff>
    </xdr:to>
    <xdr:sp macro="" textlink="">
      <xdr:nvSpPr>
        <xdr:cNvPr id="345" name="ZoneTexte 100">
          <a:extLst>
            <a:ext uri="{FF2B5EF4-FFF2-40B4-BE49-F238E27FC236}">
              <a16:creationId xmlns:a16="http://schemas.microsoft.com/office/drawing/2014/main" id="{DBB06EC0-3493-4F52-AC3F-F6081F8BCDCB}"/>
            </a:ext>
          </a:extLst>
        </xdr:cNvPr>
        <xdr:cNvSpPr txBox="1"/>
      </xdr:nvSpPr>
      <xdr:spPr>
        <a:xfrm>
          <a:off x="6462405" y="22332816"/>
          <a:ext cx="98282"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fr-CH" sz="700"/>
            <a:t>85</a:t>
          </a:r>
        </a:p>
      </xdr:txBody>
    </xdr:sp>
    <xdr:clientData/>
  </xdr:twoCellAnchor>
  <xdr:twoCellAnchor>
    <xdr:from>
      <xdr:col>13</xdr:col>
      <xdr:colOff>140485</xdr:colOff>
      <xdr:row>449</xdr:row>
      <xdr:rowOff>26278</xdr:rowOff>
    </xdr:from>
    <xdr:to>
      <xdr:col>13</xdr:col>
      <xdr:colOff>140485</xdr:colOff>
      <xdr:row>457</xdr:row>
      <xdr:rowOff>26276</xdr:rowOff>
    </xdr:to>
    <xdr:cxnSp macro="">
      <xdr:nvCxnSpPr>
        <xdr:cNvPr id="346" name="Connecteur droit 78">
          <a:extLst>
            <a:ext uri="{FF2B5EF4-FFF2-40B4-BE49-F238E27FC236}">
              <a16:creationId xmlns:a16="http://schemas.microsoft.com/office/drawing/2014/main" id="{E52FD187-110C-417A-8E91-B24D6238A497}"/>
            </a:ext>
          </a:extLst>
        </xdr:cNvPr>
        <xdr:cNvCxnSpPr/>
      </xdr:nvCxnSpPr>
      <xdr:spPr>
        <a:xfrm flipV="1">
          <a:off x="6272771" y="22586921"/>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95324</xdr:colOff>
      <xdr:row>448</xdr:row>
      <xdr:rowOff>26173</xdr:rowOff>
    </xdr:from>
    <xdr:to>
      <xdr:col>13</xdr:col>
      <xdr:colOff>326878</xdr:colOff>
      <xdr:row>449</xdr:row>
      <xdr:rowOff>28068</xdr:rowOff>
    </xdr:to>
    <xdr:sp macro="" textlink="">
      <xdr:nvSpPr>
        <xdr:cNvPr id="347" name="ZoneTexte 101">
          <a:extLst>
            <a:ext uri="{FF2B5EF4-FFF2-40B4-BE49-F238E27FC236}">
              <a16:creationId xmlns:a16="http://schemas.microsoft.com/office/drawing/2014/main" id="{243481AF-BBE1-4784-9C61-ED70606B5B70}"/>
            </a:ext>
          </a:extLst>
        </xdr:cNvPr>
        <xdr:cNvSpPr txBox="1"/>
      </xdr:nvSpPr>
      <xdr:spPr>
        <a:xfrm>
          <a:off x="6127824" y="22332816"/>
          <a:ext cx="299590"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5</xdr:col>
      <xdr:colOff>14655</xdr:colOff>
      <xdr:row>462</xdr:row>
      <xdr:rowOff>27387</xdr:rowOff>
    </xdr:from>
    <xdr:to>
      <xdr:col>7</xdr:col>
      <xdr:colOff>615104</xdr:colOff>
      <xdr:row>464</xdr:row>
      <xdr:rowOff>11545</xdr:rowOff>
    </xdr:to>
    <xdr:sp macro="" textlink="Text!AN22">
      <xdr:nvSpPr>
        <xdr:cNvPr id="348" name="Textfeld 67">
          <a:extLst>
            <a:ext uri="{FF2B5EF4-FFF2-40B4-BE49-F238E27FC236}">
              <a16:creationId xmlns:a16="http://schemas.microsoft.com/office/drawing/2014/main" id="{CA199C6D-5249-4447-B61D-AC68E180C349}"/>
            </a:ext>
          </a:extLst>
        </xdr:cNvPr>
        <xdr:cNvSpPr txBox="1"/>
      </xdr:nvSpPr>
      <xdr:spPr>
        <a:xfrm>
          <a:off x="2491155" y="24157387"/>
          <a:ext cx="1081235" cy="165587"/>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196C2A92-0EA3-418F-8851-DDCEB126DA75}" type="TxLink">
            <a:rPr lang="en-US" sz="900" b="1" i="0" u="none" strike="noStrike">
              <a:solidFill>
                <a:srgbClr val="000000"/>
              </a:solidFill>
              <a:latin typeface="Calibri"/>
              <a:ea typeface="Calibri"/>
              <a:cs typeface="Calibri"/>
            </a:rPr>
            <a:pPr algn="l"/>
            <a:t>Kriterium</a:t>
          </a:fld>
          <a:endParaRPr lang="en-US" sz="900" b="0" i="0" u="none" strike="noStrike">
            <a:ea typeface="Verdana" panose="020B0604030504040204" pitchFamily="34" charset="0"/>
            <a:cs typeface="Calibri"/>
          </a:endParaRPr>
        </a:p>
      </xdr:txBody>
    </xdr:sp>
    <xdr:clientData/>
  </xdr:twoCellAnchor>
  <xdr:twoCellAnchor>
    <xdr:from>
      <xdr:col>0</xdr:col>
      <xdr:colOff>24974</xdr:colOff>
      <xdr:row>462</xdr:row>
      <xdr:rowOff>0</xdr:rowOff>
    </xdr:from>
    <xdr:to>
      <xdr:col>3</xdr:col>
      <xdr:colOff>646519</xdr:colOff>
      <xdr:row>463</xdr:row>
      <xdr:rowOff>0</xdr:rowOff>
    </xdr:to>
    <xdr:sp macro="" textlink="Text!AL22">
      <xdr:nvSpPr>
        <xdr:cNvPr id="349" name="Textfeld 67">
          <a:extLst>
            <a:ext uri="{FF2B5EF4-FFF2-40B4-BE49-F238E27FC236}">
              <a16:creationId xmlns:a16="http://schemas.microsoft.com/office/drawing/2014/main" id="{8BFC59E1-C53A-4FA5-9C6D-AA5260922BDD}"/>
            </a:ext>
          </a:extLst>
        </xdr:cNvPr>
        <xdr:cNvSpPr txBox="1"/>
      </xdr:nvSpPr>
      <xdr:spPr>
        <a:xfrm>
          <a:off x="24974" y="24130000"/>
          <a:ext cx="1202116" cy="154214"/>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24</xdr:col>
      <xdr:colOff>758159</xdr:colOff>
      <xdr:row>462</xdr:row>
      <xdr:rowOff>15842</xdr:rowOff>
    </xdr:from>
    <xdr:to>
      <xdr:col>28</xdr:col>
      <xdr:colOff>146335</xdr:colOff>
      <xdr:row>464</xdr:row>
      <xdr:rowOff>0</xdr:rowOff>
    </xdr:to>
    <xdr:sp macro="" textlink="Text!AN22">
      <xdr:nvSpPr>
        <xdr:cNvPr id="358" name="Textfeld 67">
          <a:extLst>
            <a:ext uri="{FF2B5EF4-FFF2-40B4-BE49-F238E27FC236}">
              <a16:creationId xmlns:a16="http://schemas.microsoft.com/office/drawing/2014/main" id="{800972C4-3A5A-40DE-9931-61CE9033E063}"/>
            </a:ext>
          </a:extLst>
        </xdr:cNvPr>
        <xdr:cNvSpPr txBox="1"/>
      </xdr:nvSpPr>
      <xdr:spPr>
        <a:xfrm>
          <a:off x="12560088" y="24145842"/>
          <a:ext cx="1075461" cy="165587"/>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196C2A92-0EA3-418F-8851-DDCEB126DA75}" type="TxLink">
            <a:rPr lang="en-US" sz="900" b="1" i="0" u="none" strike="noStrike">
              <a:solidFill>
                <a:srgbClr val="000000"/>
              </a:solidFill>
              <a:latin typeface="Calibri"/>
              <a:ea typeface="Calibri"/>
              <a:cs typeface="Calibri"/>
            </a:rPr>
            <a:pPr algn="l"/>
            <a:t>Kriterium</a:t>
          </a:fld>
          <a:endParaRPr lang="en-US" sz="900" b="0" i="0" u="none" strike="noStrike">
            <a:ea typeface="Verdana" panose="020B0604030504040204" pitchFamily="34" charset="0"/>
            <a:cs typeface="Calibri"/>
          </a:endParaRPr>
        </a:p>
      </xdr:txBody>
    </xdr:sp>
    <xdr:clientData/>
  </xdr:twoCellAnchor>
  <xdr:twoCellAnchor>
    <xdr:from>
      <xdr:col>31</xdr:col>
      <xdr:colOff>428455</xdr:colOff>
      <xdr:row>462</xdr:row>
      <xdr:rowOff>0</xdr:rowOff>
    </xdr:from>
    <xdr:to>
      <xdr:col>34</xdr:col>
      <xdr:colOff>0</xdr:colOff>
      <xdr:row>463</xdr:row>
      <xdr:rowOff>0</xdr:rowOff>
    </xdr:to>
    <xdr:sp macro="" textlink="Text!AL22">
      <xdr:nvSpPr>
        <xdr:cNvPr id="359" name="Textfeld 67">
          <a:extLst>
            <a:ext uri="{FF2B5EF4-FFF2-40B4-BE49-F238E27FC236}">
              <a16:creationId xmlns:a16="http://schemas.microsoft.com/office/drawing/2014/main" id="{D97F2266-17BE-4A89-B60A-37FCDB6139A8}"/>
            </a:ext>
          </a:extLst>
        </xdr:cNvPr>
        <xdr:cNvSpPr txBox="1"/>
      </xdr:nvSpPr>
      <xdr:spPr>
        <a:xfrm>
          <a:off x="14987273" y="83081091"/>
          <a:ext cx="576000" cy="150091"/>
        </a:xfrm>
        <a:prstGeom prst="rect">
          <a:avLst/>
        </a:prstGeom>
        <a:no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8DECC315-6214-42F5-96CB-03FEE6299178}" type="TxLink">
            <a:rPr lang="en-US" sz="900" b="1" i="0" u="none" strike="noStrike">
              <a:solidFill>
                <a:srgbClr val="000000"/>
              </a:solidFill>
              <a:latin typeface="Calibri"/>
              <a:ea typeface="Verdana" panose="020B0604030504040204" pitchFamily="34" charset="0"/>
              <a:cs typeface="Calibri"/>
            </a:rPr>
            <a:pPr algn="l"/>
            <a:t>Thema</a:t>
          </a:fld>
          <a:endParaRPr lang="en-US" sz="900" b="1" i="0" u="none" strike="noStrike">
            <a:ea typeface="Verdana" panose="020B0604030504040204" pitchFamily="34" charset="0"/>
            <a:cs typeface="Calibri"/>
          </a:endParaRPr>
        </a:p>
      </xdr:txBody>
    </xdr:sp>
    <xdr:clientData/>
  </xdr:twoCellAnchor>
  <xdr:twoCellAnchor>
    <xdr:from>
      <xdr:col>3</xdr:col>
      <xdr:colOff>675974</xdr:colOff>
      <xdr:row>405</xdr:row>
      <xdr:rowOff>61408</xdr:rowOff>
    </xdr:from>
    <xdr:to>
      <xdr:col>14</xdr:col>
      <xdr:colOff>253700</xdr:colOff>
      <xdr:row>432</xdr:row>
      <xdr:rowOff>0</xdr:rowOff>
    </xdr:to>
    <xdr:graphicFrame macro="">
      <xdr:nvGraphicFramePr>
        <xdr:cNvPr id="375" name="Diagramm 374">
          <a:extLst>
            <a:ext uri="{FF2B5EF4-FFF2-40B4-BE49-F238E27FC236}">
              <a16:creationId xmlns:a16="http://schemas.microsoft.com/office/drawing/2014/main" id="{16E86BA3-7378-43B6-A7EE-38B82449E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15</xdr:col>
      <xdr:colOff>106947</xdr:colOff>
      <xdr:row>464</xdr:row>
      <xdr:rowOff>2163</xdr:rowOff>
    </xdr:from>
    <xdr:to>
      <xdr:col>17</xdr:col>
      <xdr:colOff>1184962</xdr:colOff>
      <xdr:row>469</xdr:row>
      <xdr:rowOff>4363</xdr:rowOff>
    </xdr:to>
    <xdr:graphicFrame macro="">
      <xdr:nvGraphicFramePr>
        <xdr:cNvPr id="377" name="DiagrammGesellschaft_Klima">
          <a:extLst>
            <a:ext uri="{FF2B5EF4-FFF2-40B4-BE49-F238E27FC236}">
              <a16:creationId xmlns:a16="http://schemas.microsoft.com/office/drawing/2014/main" id="{0249A2E7-FE0F-4E47-9A68-F15E7EF6E0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16</xdr:col>
      <xdr:colOff>3970</xdr:colOff>
      <xdr:row>469</xdr:row>
      <xdr:rowOff>1587</xdr:rowOff>
    </xdr:from>
    <xdr:to>
      <xdr:col>17</xdr:col>
      <xdr:colOff>1184561</xdr:colOff>
      <xdr:row>477</xdr:row>
      <xdr:rowOff>7309</xdr:rowOff>
    </xdr:to>
    <xdr:graphicFrame macro="">
      <xdr:nvGraphicFramePr>
        <xdr:cNvPr id="379" name="DiagrammGesellschaft_Klima">
          <a:extLst>
            <a:ext uri="{FF2B5EF4-FFF2-40B4-BE49-F238E27FC236}">
              <a16:creationId xmlns:a16="http://schemas.microsoft.com/office/drawing/2014/main" id="{7E37A646-4128-448D-847B-C7873D63E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16</xdr:col>
      <xdr:colOff>0</xdr:colOff>
      <xdr:row>461</xdr:row>
      <xdr:rowOff>0</xdr:rowOff>
    </xdr:from>
    <xdr:to>
      <xdr:col>17</xdr:col>
      <xdr:colOff>1190472</xdr:colOff>
      <xdr:row>461</xdr:row>
      <xdr:rowOff>378000</xdr:rowOff>
    </xdr:to>
    <xdr:graphicFrame macro="">
      <xdr:nvGraphicFramePr>
        <xdr:cNvPr id="383" name="Diagramm 382">
          <a:extLst>
            <a:ext uri="{FF2B5EF4-FFF2-40B4-BE49-F238E27FC236}">
              <a16:creationId xmlns:a16="http://schemas.microsoft.com/office/drawing/2014/main" id="{43F131D5-2CD2-46D9-9945-245DD16B63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16</xdr:col>
      <xdr:colOff>0</xdr:colOff>
      <xdr:row>487</xdr:row>
      <xdr:rowOff>0</xdr:rowOff>
    </xdr:from>
    <xdr:to>
      <xdr:col>17</xdr:col>
      <xdr:colOff>1183321</xdr:colOff>
      <xdr:row>487</xdr:row>
      <xdr:rowOff>378000</xdr:rowOff>
    </xdr:to>
    <xdr:graphicFrame macro="">
      <xdr:nvGraphicFramePr>
        <xdr:cNvPr id="385" name="Diagramm 384">
          <a:extLst>
            <a:ext uri="{FF2B5EF4-FFF2-40B4-BE49-F238E27FC236}">
              <a16:creationId xmlns:a16="http://schemas.microsoft.com/office/drawing/2014/main" id="{05597232-96F5-4CFE-A654-DE775041F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16</xdr:col>
      <xdr:colOff>1395</xdr:colOff>
      <xdr:row>490</xdr:row>
      <xdr:rowOff>0</xdr:rowOff>
    </xdr:from>
    <xdr:to>
      <xdr:col>17</xdr:col>
      <xdr:colOff>1184716</xdr:colOff>
      <xdr:row>497</xdr:row>
      <xdr:rowOff>8200</xdr:rowOff>
    </xdr:to>
    <xdr:graphicFrame macro="">
      <xdr:nvGraphicFramePr>
        <xdr:cNvPr id="387" name="Diagramm 386">
          <a:extLst>
            <a:ext uri="{FF2B5EF4-FFF2-40B4-BE49-F238E27FC236}">
              <a16:creationId xmlns:a16="http://schemas.microsoft.com/office/drawing/2014/main" id="{BE331840-31A8-46FE-B4C8-03C705ABE1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16</xdr:col>
      <xdr:colOff>0</xdr:colOff>
      <xdr:row>501</xdr:row>
      <xdr:rowOff>126999</xdr:rowOff>
    </xdr:from>
    <xdr:to>
      <xdr:col>17</xdr:col>
      <xdr:colOff>1183321</xdr:colOff>
      <xdr:row>502</xdr:row>
      <xdr:rowOff>377999</xdr:rowOff>
    </xdr:to>
    <xdr:graphicFrame macro="">
      <xdr:nvGraphicFramePr>
        <xdr:cNvPr id="389" name="Diagramm 388">
          <a:extLst>
            <a:ext uri="{FF2B5EF4-FFF2-40B4-BE49-F238E27FC236}">
              <a16:creationId xmlns:a16="http://schemas.microsoft.com/office/drawing/2014/main" id="{613EB569-B4D0-4B12-92A9-06D2CE829A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15</xdr:col>
      <xdr:colOff>108414</xdr:colOff>
      <xdr:row>505</xdr:row>
      <xdr:rowOff>0</xdr:rowOff>
    </xdr:from>
    <xdr:to>
      <xdr:col>17</xdr:col>
      <xdr:colOff>1181301</xdr:colOff>
      <xdr:row>511</xdr:row>
      <xdr:rowOff>123524</xdr:rowOff>
    </xdr:to>
    <xdr:graphicFrame macro="">
      <xdr:nvGraphicFramePr>
        <xdr:cNvPr id="393" name="Diagramm 392">
          <a:extLst>
            <a:ext uri="{FF2B5EF4-FFF2-40B4-BE49-F238E27FC236}">
              <a16:creationId xmlns:a16="http://schemas.microsoft.com/office/drawing/2014/main" id="{9CEA8C89-8F55-4177-BA66-0768107F9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15</xdr:col>
      <xdr:colOff>104899</xdr:colOff>
      <xdr:row>512</xdr:row>
      <xdr:rowOff>0</xdr:rowOff>
    </xdr:from>
    <xdr:to>
      <xdr:col>17</xdr:col>
      <xdr:colOff>1180018</xdr:colOff>
      <xdr:row>519</xdr:row>
      <xdr:rowOff>5219</xdr:rowOff>
    </xdr:to>
    <xdr:graphicFrame macro="">
      <xdr:nvGraphicFramePr>
        <xdr:cNvPr id="394" name="Diagramm 393">
          <a:extLst>
            <a:ext uri="{FF2B5EF4-FFF2-40B4-BE49-F238E27FC236}">
              <a16:creationId xmlns:a16="http://schemas.microsoft.com/office/drawing/2014/main" id="{E7C65FC8-DB33-4872-9452-BAFFBEE25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16</xdr:col>
      <xdr:colOff>0</xdr:colOff>
      <xdr:row>519</xdr:row>
      <xdr:rowOff>0</xdr:rowOff>
    </xdr:from>
    <xdr:to>
      <xdr:col>17</xdr:col>
      <xdr:colOff>1178385</xdr:colOff>
      <xdr:row>522</xdr:row>
      <xdr:rowOff>117220</xdr:rowOff>
    </xdr:to>
    <xdr:graphicFrame macro="">
      <xdr:nvGraphicFramePr>
        <xdr:cNvPr id="396" name="Diagramm 395">
          <a:extLst>
            <a:ext uri="{FF2B5EF4-FFF2-40B4-BE49-F238E27FC236}">
              <a16:creationId xmlns:a16="http://schemas.microsoft.com/office/drawing/2014/main" id="{5028AC2B-95EB-4787-ACAD-1ABF79D906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16</xdr:col>
      <xdr:colOff>0</xdr:colOff>
      <xdr:row>524</xdr:row>
      <xdr:rowOff>0</xdr:rowOff>
    </xdr:from>
    <xdr:to>
      <xdr:col>17</xdr:col>
      <xdr:colOff>1183321</xdr:colOff>
      <xdr:row>524</xdr:row>
      <xdr:rowOff>385200</xdr:rowOff>
    </xdr:to>
    <xdr:graphicFrame macro="">
      <xdr:nvGraphicFramePr>
        <xdr:cNvPr id="398" name="Diagramm 397">
          <a:extLst>
            <a:ext uri="{FF2B5EF4-FFF2-40B4-BE49-F238E27FC236}">
              <a16:creationId xmlns:a16="http://schemas.microsoft.com/office/drawing/2014/main" id="{BC3D0384-4D66-47D5-B59A-30E9ED0F7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3</xdr:col>
      <xdr:colOff>1116926</xdr:colOff>
      <xdr:row>359</xdr:row>
      <xdr:rowOff>26173</xdr:rowOff>
    </xdr:from>
    <xdr:to>
      <xdr:col>3</xdr:col>
      <xdr:colOff>1353594</xdr:colOff>
      <xdr:row>360</xdr:row>
      <xdr:rowOff>28068</xdr:rowOff>
    </xdr:to>
    <xdr:sp macro="" textlink="">
      <xdr:nvSpPr>
        <xdr:cNvPr id="403" name="ZoneTexte 100">
          <a:extLst>
            <a:ext uri="{FF2B5EF4-FFF2-40B4-BE49-F238E27FC236}">
              <a16:creationId xmlns:a16="http://schemas.microsoft.com/office/drawing/2014/main" id="{0BA7BB30-EDDC-4B97-86C0-BA0128D875DF}"/>
            </a:ext>
          </a:extLst>
        </xdr:cNvPr>
        <xdr:cNvSpPr txBox="1"/>
      </xdr:nvSpPr>
      <xdr:spPr>
        <a:xfrm>
          <a:off x="1697497" y="3954102"/>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endParaRPr lang="fr-CH" sz="700"/>
        </a:p>
      </xdr:txBody>
    </xdr:sp>
    <xdr:clientData/>
  </xdr:twoCellAnchor>
  <xdr:twoCellAnchor>
    <xdr:from>
      <xdr:col>17</xdr:col>
      <xdr:colOff>1314524</xdr:colOff>
      <xdr:row>359</xdr:row>
      <xdr:rowOff>26173</xdr:rowOff>
    </xdr:from>
    <xdr:to>
      <xdr:col>17</xdr:col>
      <xdr:colOff>1654028</xdr:colOff>
      <xdr:row>360</xdr:row>
      <xdr:rowOff>28068</xdr:rowOff>
    </xdr:to>
    <xdr:sp macro="" textlink="">
      <xdr:nvSpPr>
        <xdr:cNvPr id="415" name="ZoneTexte 101">
          <a:extLst>
            <a:ext uri="{FF2B5EF4-FFF2-40B4-BE49-F238E27FC236}">
              <a16:creationId xmlns:a16="http://schemas.microsoft.com/office/drawing/2014/main" id="{E994FCA3-8C3E-481C-88BA-1E834636C1A9}"/>
            </a:ext>
          </a:extLst>
        </xdr:cNvPr>
        <xdr:cNvSpPr txBox="1"/>
      </xdr:nvSpPr>
      <xdr:spPr>
        <a:xfrm>
          <a:off x="9496045" y="3954102"/>
          <a:ext cx="2954"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13</xdr:col>
      <xdr:colOff>130311</xdr:colOff>
      <xdr:row>371</xdr:row>
      <xdr:rowOff>87923</xdr:rowOff>
    </xdr:from>
    <xdr:to>
      <xdr:col>15</xdr:col>
      <xdr:colOff>105211</xdr:colOff>
      <xdr:row>373</xdr:row>
      <xdr:rowOff>600</xdr:rowOff>
    </xdr:to>
    <xdr:graphicFrame macro="">
      <xdr:nvGraphicFramePr>
        <xdr:cNvPr id="431" name="Diagramm 430">
          <a:extLst>
            <a:ext uri="{FF2B5EF4-FFF2-40B4-BE49-F238E27FC236}">
              <a16:creationId xmlns:a16="http://schemas.microsoft.com/office/drawing/2014/main" id="{0C3FEAFA-C9FF-4115-BEB5-6BC66348CF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13</xdr:col>
      <xdr:colOff>129029</xdr:colOff>
      <xdr:row>374</xdr:row>
      <xdr:rowOff>0</xdr:rowOff>
    </xdr:from>
    <xdr:to>
      <xdr:col>15</xdr:col>
      <xdr:colOff>103629</xdr:colOff>
      <xdr:row>375</xdr:row>
      <xdr:rowOff>109</xdr:rowOff>
    </xdr:to>
    <xdr:graphicFrame macro="">
      <xdr:nvGraphicFramePr>
        <xdr:cNvPr id="433" name="Diagramm 432">
          <a:extLst>
            <a:ext uri="{FF2B5EF4-FFF2-40B4-BE49-F238E27FC236}">
              <a16:creationId xmlns:a16="http://schemas.microsoft.com/office/drawing/2014/main" id="{8588D3CE-8396-409F-84D5-ACE67141E5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13</xdr:col>
      <xdr:colOff>128684</xdr:colOff>
      <xdr:row>376</xdr:row>
      <xdr:rowOff>0</xdr:rowOff>
    </xdr:from>
    <xdr:to>
      <xdr:col>15</xdr:col>
      <xdr:colOff>103284</xdr:colOff>
      <xdr:row>377</xdr:row>
      <xdr:rowOff>108</xdr:rowOff>
    </xdr:to>
    <xdr:graphicFrame macro="">
      <xdr:nvGraphicFramePr>
        <xdr:cNvPr id="435" name="Diagramm 434">
          <a:extLst>
            <a:ext uri="{FF2B5EF4-FFF2-40B4-BE49-F238E27FC236}">
              <a16:creationId xmlns:a16="http://schemas.microsoft.com/office/drawing/2014/main" id="{873EE168-C34A-455C-B708-994E532AC3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13</xdr:col>
      <xdr:colOff>129596</xdr:colOff>
      <xdr:row>378</xdr:row>
      <xdr:rowOff>2</xdr:rowOff>
    </xdr:from>
    <xdr:to>
      <xdr:col>15</xdr:col>
      <xdr:colOff>104496</xdr:colOff>
      <xdr:row>378</xdr:row>
      <xdr:rowOff>381602</xdr:rowOff>
    </xdr:to>
    <xdr:graphicFrame macro="">
      <xdr:nvGraphicFramePr>
        <xdr:cNvPr id="437" name="Diagramm 436">
          <a:extLst>
            <a:ext uri="{FF2B5EF4-FFF2-40B4-BE49-F238E27FC236}">
              <a16:creationId xmlns:a16="http://schemas.microsoft.com/office/drawing/2014/main" id="{E02D61A2-AD30-44D2-AFE5-1C37608666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14</xdr:col>
      <xdr:colOff>1296215</xdr:colOff>
      <xdr:row>448</xdr:row>
      <xdr:rowOff>26173</xdr:rowOff>
    </xdr:from>
    <xdr:to>
      <xdr:col>16</xdr:col>
      <xdr:colOff>279129</xdr:colOff>
      <xdr:row>449</xdr:row>
      <xdr:rowOff>28068</xdr:rowOff>
    </xdr:to>
    <xdr:sp macro="" textlink="">
      <xdr:nvSpPr>
        <xdr:cNvPr id="438" name="ZoneTexte 57">
          <a:extLst>
            <a:ext uri="{FF2B5EF4-FFF2-40B4-BE49-F238E27FC236}">
              <a16:creationId xmlns:a16="http://schemas.microsoft.com/office/drawing/2014/main" id="{4771F82B-FB9B-457C-AB21-48372328F38F}"/>
            </a:ext>
          </a:extLst>
        </xdr:cNvPr>
        <xdr:cNvSpPr txBox="1"/>
      </xdr:nvSpPr>
      <xdr:spPr>
        <a:xfrm>
          <a:off x="7718786" y="22332816"/>
          <a:ext cx="388986"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0</a:t>
          </a:r>
        </a:p>
      </xdr:txBody>
    </xdr:sp>
    <xdr:clientData/>
  </xdr:twoCellAnchor>
  <xdr:twoCellAnchor>
    <xdr:from>
      <xdr:col>17</xdr:col>
      <xdr:colOff>410389</xdr:colOff>
      <xdr:row>448</xdr:row>
      <xdr:rowOff>156702</xdr:rowOff>
    </xdr:from>
    <xdr:to>
      <xdr:col>17</xdr:col>
      <xdr:colOff>648514</xdr:colOff>
      <xdr:row>456</xdr:row>
      <xdr:rowOff>124557</xdr:rowOff>
    </xdr:to>
    <xdr:sp macro="" textlink="Text!C557">
      <xdr:nvSpPr>
        <xdr:cNvPr id="439" name="Textfeld 67">
          <a:extLst>
            <a:ext uri="{FF2B5EF4-FFF2-40B4-BE49-F238E27FC236}">
              <a16:creationId xmlns:a16="http://schemas.microsoft.com/office/drawing/2014/main" id="{68D1A539-6786-4E2F-90CE-EDBEFA8BCB92}"/>
            </a:ext>
          </a:extLst>
        </xdr:cNvPr>
        <xdr:cNvSpPr txBox="1"/>
      </xdr:nvSpPr>
      <xdr:spPr>
        <a:xfrm rot="16200000">
          <a:off x="8356024" y="22718281"/>
          <a:ext cx="747998"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997271</xdr:colOff>
      <xdr:row>448</xdr:row>
      <xdr:rowOff>147946</xdr:rowOff>
    </xdr:from>
    <xdr:to>
      <xdr:col>17</xdr:col>
      <xdr:colOff>1154225</xdr:colOff>
      <xdr:row>456</xdr:row>
      <xdr:rowOff>118241</xdr:rowOff>
    </xdr:to>
    <xdr:sp macro="" textlink="Text!C559">
      <xdr:nvSpPr>
        <xdr:cNvPr id="440" name="Textfeld 67">
          <a:extLst>
            <a:ext uri="{FF2B5EF4-FFF2-40B4-BE49-F238E27FC236}">
              <a16:creationId xmlns:a16="http://schemas.microsoft.com/office/drawing/2014/main" id="{98DDE2FB-F779-4ED9-BBBA-C68375E4D39E}"/>
            </a:ext>
          </a:extLst>
        </xdr:cNvPr>
        <xdr:cNvSpPr txBox="1"/>
      </xdr:nvSpPr>
      <xdr:spPr>
        <a:xfrm rot="16200000">
          <a:off x="8901100" y="22751331"/>
          <a:ext cx="750438" cy="156954"/>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lientData/>
  </xdr:twoCellAnchor>
  <xdr:twoCellAnchor>
    <xdr:from>
      <xdr:col>17</xdr:col>
      <xdr:colOff>273337</xdr:colOff>
      <xdr:row>448</xdr:row>
      <xdr:rowOff>26173</xdr:rowOff>
    </xdr:from>
    <xdr:to>
      <xdr:col>17</xdr:col>
      <xdr:colOff>510005</xdr:colOff>
      <xdr:row>449</xdr:row>
      <xdr:rowOff>28068</xdr:rowOff>
    </xdr:to>
    <xdr:sp macro="" textlink="">
      <xdr:nvSpPr>
        <xdr:cNvPr id="441" name="ZoneTexte 98">
          <a:extLst>
            <a:ext uri="{FF2B5EF4-FFF2-40B4-BE49-F238E27FC236}">
              <a16:creationId xmlns:a16="http://schemas.microsoft.com/office/drawing/2014/main" id="{1543D3DA-70C9-4EAE-8171-6387A766D398}"/>
            </a:ext>
          </a:extLst>
        </xdr:cNvPr>
        <xdr:cNvSpPr txBox="1"/>
      </xdr:nvSpPr>
      <xdr:spPr>
        <a:xfrm>
          <a:off x="8473908" y="22332816"/>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clientData/>
  </xdr:twoCellAnchor>
  <xdr:twoCellAnchor>
    <xdr:from>
      <xdr:col>17</xdr:col>
      <xdr:colOff>541747</xdr:colOff>
      <xdr:row>448</xdr:row>
      <xdr:rowOff>26173</xdr:rowOff>
    </xdr:from>
    <xdr:to>
      <xdr:col>17</xdr:col>
      <xdr:colOff>778415</xdr:colOff>
      <xdr:row>449</xdr:row>
      <xdr:rowOff>28068</xdr:rowOff>
    </xdr:to>
    <xdr:sp macro="" textlink="">
      <xdr:nvSpPr>
        <xdr:cNvPr id="442" name="ZoneTexte 99">
          <a:extLst>
            <a:ext uri="{FF2B5EF4-FFF2-40B4-BE49-F238E27FC236}">
              <a16:creationId xmlns:a16="http://schemas.microsoft.com/office/drawing/2014/main" id="{03D3CC9C-34DD-4AD3-A442-4F3F095893A8}"/>
            </a:ext>
          </a:extLst>
        </xdr:cNvPr>
        <xdr:cNvSpPr txBox="1"/>
      </xdr:nvSpPr>
      <xdr:spPr>
        <a:xfrm>
          <a:off x="8742318" y="22332816"/>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clientData/>
  </xdr:twoCellAnchor>
  <xdr:twoCellAnchor>
    <xdr:from>
      <xdr:col>17</xdr:col>
      <xdr:colOff>644383</xdr:colOff>
      <xdr:row>449</xdr:row>
      <xdr:rowOff>2</xdr:rowOff>
    </xdr:from>
    <xdr:to>
      <xdr:col>17</xdr:col>
      <xdr:colOff>644383</xdr:colOff>
      <xdr:row>457</xdr:row>
      <xdr:rowOff>0</xdr:rowOff>
    </xdr:to>
    <xdr:cxnSp macro="">
      <xdr:nvCxnSpPr>
        <xdr:cNvPr id="443" name="Connecteur droit 74">
          <a:extLst>
            <a:ext uri="{FF2B5EF4-FFF2-40B4-BE49-F238E27FC236}">
              <a16:creationId xmlns:a16="http://schemas.microsoft.com/office/drawing/2014/main" id="{0F849ED9-8E36-4C05-AB3F-8684DD010FD0}"/>
            </a:ext>
          </a:extLst>
        </xdr:cNvPr>
        <xdr:cNvCxnSpPr/>
      </xdr:nvCxnSpPr>
      <xdr:spPr>
        <a:xfrm flipV="1">
          <a:off x="8844954" y="22560645"/>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825045</xdr:colOff>
      <xdr:row>448</xdr:row>
      <xdr:rowOff>26173</xdr:rowOff>
    </xdr:from>
    <xdr:to>
      <xdr:col>17</xdr:col>
      <xdr:colOff>1004563</xdr:colOff>
      <xdr:row>449</xdr:row>
      <xdr:rowOff>28068</xdr:rowOff>
    </xdr:to>
    <xdr:sp macro="" textlink="">
      <xdr:nvSpPr>
        <xdr:cNvPr id="444" name="ZoneTexte 100">
          <a:extLst>
            <a:ext uri="{FF2B5EF4-FFF2-40B4-BE49-F238E27FC236}">
              <a16:creationId xmlns:a16="http://schemas.microsoft.com/office/drawing/2014/main" id="{736BE5F5-1499-47BE-AE8F-710A84A2FC1C}"/>
            </a:ext>
          </a:extLst>
        </xdr:cNvPr>
        <xdr:cNvSpPr txBox="1"/>
      </xdr:nvSpPr>
      <xdr:spPr>
        <a:xfrm>
          <a:off x="9025616" y="22332816"/>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clientData/>
  </xdr:twoCellAnchor>
  <xdr:twoCellAnchor>
    <xdr:from>
      <xdr:col>14</xdr:col>
      <xdr:colOff>622705</xdr:colOff>
      <xdr:row>449</xdr:row>
      <xdr:rowOff>26278</xdr:rowOff>
    </xdr:from>
    <xdr:to>
      <xdr:col>14</xdr:col>
      <xdr:colOff>622705</xdr:colOff>
      <xdr:row>457</xdr:row>
      <xdr:rowOff>26276</xdr:rowOff>
    </xdr:to>
    <xdr:cxnSp macro="">
      <xdr:nvCxnSpPr>
        <xdr:cNvPr id="445" name="Connecteur droit 74">
          <a:extLst>
            <a:ext uri="{FF2B5EF4-FFF2-40B4-BE49-F238E27FC236}">
              <a16:creationId xmlns:a16="http://schemas.microsoft.com/office/drawing/2014/main" id="{CEB9DB36-3C4C-46E9-8E21-E4A645DC6752}"/>
            </a:ext>
          </a:extLst>
        </xdr:cNvPr>
        <xdr:cNvCxnSpPr/>
      </xdr:nvCxnSpPr>
      <xdr:spPr>
        <a:xfrm flipV="1">
          <a:off x="7045276" y="22586921"/>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1042131</xdr:colOff>
      <xdr:row>448</xdr:row>
      <xdr:rowOff>26173</xdr:rowOff>
    </xdr:from>
    <xdr:to>
      <xdr:col>19</xdr:col>
      <xdr:colOff>87768</xdr:colOff>
      <xdr:row>449</xdr:row>
      <xdr:rowOff>28068</xdr:rowOff>
    </xdr:to>
    <xdr:sp macro="" textlink="">
      <xdr:nvSpPr>
        <xdr:cNvPr id="446" name="ZoneTexte 101">
          <a:extLst>
            <a:ext uri="{FF2B5EF4-FFF2-40B4-BE49-F238E27FC236}">
              <a16:creationId xmlns:a16="http://schemas.microsoft.com/office/drawing/2014/main" id="{F9532828-EAC3-4FA8-B4F8-A51473697847}"/>
            </a:ext>
          </a:extLst>
        </xdr:cNvPr>
        <xdr:cNvSpPr txBox="1"/>
      </xdr:nvSpPr>
      <xdr:spPr>
        <a:xfrm>
          <a:off x="9242702" y="22332816"/>
          <a:ext cx="451709"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clientData/>
  </xdr:twoCellAnchor>
  <xdr:twoCellAnchor>
    <xdr:from>
      <xdr:col>17</xdr:col>
      <xdr:colOff>1196176</xdr:colOff>
      <xdr:row>449</xdr:row>
      <xdr:rowOff>2</xdr:rowOff>
    </xdr:from>
    <xdr:to>
      <xdr:col>17</xdr:col>
      <xdr:colOff>1196176</xdr:colOff>
      <xdr:row>457</xdr:row>
      <xdr:rowOff>0</xdr:rowOff>
    </xdr:to>
    <xdr:cxnSp macro="">
      <xdr:nvCxnSpPr>
        <xdr:cNvPr id="447" name="Connecteur droit 74">
          <a:extLst>
            <a:ext uri="{FF2B5EF4-FFF2-40B4-BE49-F238E27FC236}">
              <a16:creationId xmlns:a16="http://schemas.microsoft.com/office/drawing/2014/main" id="{511DA96B-E47E-46A5-ADDD-01A96C89B962}"/>
            </a:ext>
          </a:extLst>
        </xdr:cNvPr>
        <xdr:cNvCxnSpPr/>
      </xdr:nvCxnSpPr>
      <xdr:spPr>
        <a:xfrm flipV="1">
          <a:off x="9396747" y="22560645"/>
          <a:ext cx="0" cy="653141"/>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150015</xdr:colOff>
      <xdr:row>407</xdr:row>
      <xdr:rowOff>122372</xdr:rowOff>
    </xdr:from>
    <xdr:to>
      <xdr:col>34</xdr:col>
      <xdr:colOff>0</xdr:colOff>
      <xdr:row>427</xdr:row>
      <xdr:rowOff>102552</xdr:rowOff>
    </xdr:to>
    <xdr:graphicFrame macro="">
      <xdr:nvGraphicFramePr>
        <xdr:cNvPr id="2" name="Diagramm 1">
          <a:extLst>
            <a:ext uri="{FF2B5EF4-FFF2-40B4-BE49-F238E27FC236}">
              <a16:creationId xmlns:a16="http://schemas.microsoft.com/office/drawing/2014/main" id="{79CF18C2-707C-4880-9791-090E07249CA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15</xdr:col>
      <xdr:colOff>2304</xdr:colOff>
      <xdr:row>407</xdr:row>
      <xdr:rowOff>104312</xdr:rowOff>
    </xdr:from>
    <xdr:to>
      <xdr:col>23</xdr:col>
      <xdr:colOff>354558</xdr:colOff>
      <xdr:row>428</xdr:row>
      <xdr:rowOff>1338</xdr:rowOff>
    </xdr:to>
    <xdr:graphicFrame macro="">
      <xdr:nvGraphicFramePr>
        <xdr:cNvPr id="3" name="Diagramm 2">
          <a:extLst>
            <a:ext uri="{FF2B5EF4-FFF2-40B4-BE49-F238E27FC236}">
              <a16:creationId xmlns:a16="http://schemas.microsoft.com/office/drawing/2014/main" id="{6A75F21C-C531-4820-8339-70D90CA710D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13</xdr:col>
      <xdr:colOff>34635</xdr:colOff>
      <xdr:row>360</xdr:row>
      <xdr:rowOff>11545</xdr:rowOff>
    </xdr:from>
    <xdr:to>
      <xdr:col>17</xdr:col>
      <xdr:colOff>104782</xdr:colOff>
      <xdr:row>369</xdr:row>
      <xdr:rowOff>117279</xdr:rowOff>
    </xdr:to>
    <xdr:grpSp>
      <xdr:nvGrpSpPr>
        <xdr:cNvPr id="55" name="Gruppieren 54">
          <a:extLst>
            <a:ext uri="{FF2B5EF4-FFF2-40B4-BE49-F238E27FC236}">
              <a16:creationId xmlns:a16="http://schemas.microsoft.com/office/drawing/2014/main" id="{C6CB8D34-9F09-47D5-9362-01BEEA680915}"/>
            </a:ext>
          </a:extLst>
        </xdr:cNvPr>
        <xdr:cNvGrpSpPr/>
      </xdr:nvGrpSpPr>
      <xdr:grpSpPr>
        <a:xfrm>
          <a:off x="6182929" y="32698765"/>
          <a:ext cx="2139500" cy="0"/>
          <a:chOff x="5922870" y="33579573"/>
          <a:chExt cx="2141154" cy="875527"/>
        </a:xfrm>
      </xdr:grpSpPr>
      <xdr:grpSp>
        <xdr:nvGrpSpPr>
          <xdr:cNvPr id="56" name="Gruppieren 55">
            <a:extLst>
              <a:ext uri="{FF2B5EF4-FFF2-40B4-BE49-F238E27FC236}">
                <a16:creationId xmlns:a16="http://schemas.microsoft.com/office/drawing/2014/main" id="{457586C5-F6F2-1827-7A10-97C9CEF90B44}"/>
              </a:ext>
            </a:extLst>
          </xdr:cNvPr>
          <xdr:cNvGrpSpPr/>
        </xdr:nvGrpSpPr>
        <xdr:grpSpPr>
          <a:xfrm>
            <a:off x="6031192" y="33691945"/>
            <a:ext cx="1568450" cy="763155"/>
            <a:chOff x="6031192" y="33691945"/>
            <a:chExt cx="1568450" cy="763155"/>
          </a:xfrm>
        </xdr:grpSpPr>
        <xdr:sp macro="" textlink="Text!C558">
          <xdr:nvSpPr>
            <xdr:cNvPr id="69" name="Textfeld 67">
              <a:extLst>
                <a:ext uri="{FF2B5EF4-FFF2-40B4-BE49-F238E27FC236}">
                  <a16:creationId xmlns:a16="http://schemas.microsoft.com/office/drawing/2014/main" id="{81B558E9-F140-8034-7136-4530F9710D76}"/>
                </a:ext>
              </a:extLst>
            </xdr:cNvPr>
            <xdr:cNvSpPr txBox="1"/>
          </xdr:nvSpPr>
          <xdr:spPr>
            <a:xfrm rot="16200000">
              <a:off x="6828561" y="33912075"/>
              <a:ext cx="742553" cy="325911"/>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CC622ECF-DDDC-489A-8019-61FE298E24C1}" type="TxLink">
                <a:rPr lang="en-US" sz="700" b="0" i="0" u="none" strike="noStrike">
                  <a:solidFill>
                    <a:srgbClr val="000000"/>
                  </a:solidFill>
                  <a:latin typeface="Calibri"/>
                  <a:ea typeface="Verdana" panose="020B0604030504040204" pitchFamily="34" charset="0"/>
                  <a:cs typeface="Calibri"/>
                </a:rPr>
                <a:pPr algn="l"/>
                <a:t>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sp macro="" textlink="Text!C559">
          <xdr:nvSpPr>
            <xdr:cNvPr id="70" name="Textfeld 67">
              <a:extLst>
                <a:ext uri="{FF2B5EF4-FFF2-40B4-BE49-F238E27FC236}">
                  <a16:creationId xmlns:a16="http://schemas.microsoft.com/office/drawing/2014/main" id="{ED4C3304-2F98-9EE0-293D-FCD34CDD70EA}"/>
                </a:ext>
              </a:extLst>
            </xdr:cNvPr>
            <xdr:cNvSpPr txBox="1"/>
          </xdr:nvSpPr>
          <xdr:spPr>
            <a:xfrm rot="16200000">
              <a:off x="7103664" y="33951649"/>
              <a:ext cx="744995" cy="236506"/>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B68F340E-9E89-402F-BF96-CFCE1C42E277}" type="TxLink">
                <a:rPr lang="en-US" sz="700" b="0" i="0" u="none" strike="noStrike">
                  <a:solidFill>
                    <a:srgbClr val="000000"/>
                  </a:solidFill>
                  <a:latin typeface="Calibri"/>
                  <a:ea typeface="Verdana" panose="020B0604030504040204" pitchFamily="34" charset="0"/>
                  <a:cs typeface="Calibri"/>
                </a:rPr>
                <a:pPr algn="l"/>
                <a:t>Gut</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sp macro="" textlink="Text!C556">
          <xdr:nvSpPr>
            <xdr:cNvPr id="71" name="Textfeld 67">
              <a:extLst>
                <a:ext uri="{FF2B5EF4-FFF2-40B4-BE49-F238E27FC236}">
                  <a16:creationId xmlns:a16="http://schemas.microsoft.com/office/drawing/2014/main" id="{2D19E082-6543-966D-B1C3-5F3E497A0B4B}"/>
                </a:ext>
              </a:extLst>
            </xdr:cNvPr>
            <xdr:cNvSpPr txBox="1"/>
          </xdr:nvSpPr>
          <xdr:spPr>
            <a:xfrm rot="16200000">
              <a:off x="6067978" y="33664038"/>
              <a:ext cx="744995" cy="800809"/>
            </a:xfrm>
            <a:prstGeom prst="rect">
              <a:avLst/>
            </a:prstGeom>
            <a:solidFill>
              <a:sysClr val="window" lastClr="FFFFFF"/>
            </a:solidFill>
            <a:ln w="3175">
              <a:noFill/>
              <a:prstDash val="solid"/>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940B1D96-25F9-43E3-8471-93E069EEBD4D}" type="TxLink">
                <a:rPr lang="en-US" sz="700" b="0" i="0" u="none" strike="noStrike">
                  <a:solidFill>
                    <a:srgbClr val="000000"/>
                  </a:solidFill>
                  <a:latin typeface="Calibri"/>
                  <a:ea typeface="Verdana" panose="020B0604030504040204" pitchFamily="34" charset="0"/>
                  <a:cs typeface="Calibri"/>
                </a:rPr>
                <a:pPr algn="l"/>
                <a:t>Stolperstein</a:t>
              </a:fld>
              <a:endParaRPr lang="en-US" sz="700" b="0" i="0" u="none" strike="noStrike">
                <a:ea typeface="Verdana" panose="020B0604030504040204" pitchFamily="34" charset="0"/>
                <a:cs typeface="Calibri"/>
              </a:endParaRPr>
            </a:p>
          </xdr:txBody>
        </xdr:sp>
        <xdr:sp macro="" textlink="Text!C557">
          <xdr:nvSpPr>
            <xdr:cNvPr id="72" name="Textfeld 67">
              <a:extLst>
                <a:ext uri="{FF2B5EF4-FFF2-40B4-BE49-F238E27FC236}">
                  <a16:creationId xmlns:a16="http://schemas.microsoft.com/office/drawing/2014/main" id="{102E3A9E-2053-F9D9-94E5-75D3BF168FF5}"/>
                </a:ext>
              </a:extLst>
            </xdr:cNvPr>
            <xdr:cNvSpPr txBox="1"/>
          </xdr:nvSpPr>
          <xdr:spPr>
            <a:xfrm rot="16200000">
              <a:off x="6558259" y="33955967"/>
              <a:ext cx="742555" cy="238125"/>
            </a:xfrm>
            <a:prstGeom prst="rect">
              <a:avLst/>
            </a:prstGeom>
            <a:solidFill>
              <a:sysClr val="window" lastClr="FFFFFF"/>
            </a:solidFill>
            <a:ln w="317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fld id="{3194A817-2FB4-42EB-AC4D-E78C0D2AE5B2}" type="TxLink">
                <a:rPr lang="en-US" sz="700" b="0" i="0" u="none" strike="noStrike">
                  <a:solidFill>
                    <a:srgbClr val="000000"/>
                  </a:solidFill>
                  <a:latin typeface="Calibri"/>
                  <a:ea typeface="Verdana" panose="020B0604030504040204" pitchFamily="34" charset="0"/>
                  <a:cs typeface="Calibri"/>
                </a:rPr>
                <a:pPr algn="l"/>
                <a:t>Ungenügend</a:t>
              </a:fld>
              <a:endParaRPr lang="en-US" sz="700" b="0" i="0" u="none" strike="noStrike">
                <a:solidFill>
                  <a:sysClr val="windowText" lastClr="000000"/>
                </a:solidFill>
                <a:latin typeface="Verdana" panose="020B0604030504040204" pitchFamily="34" charset="0"/>
                <a:ea typeface="Verdana" panose="020B0604030504040204" pitchFamily="34" charset="0"/>
                <a:cs typeface="Calibri"/>
              </a:endParaRPr>
            </a:p>
          </xdr:txBody>
        </xdr:sp>
        <xdr:cxnSp macro="">
          <xdr:nvCxnSpPr>
            <xdr:cNvPr id="73" name="Connecteur droit 74">
              <a:extLst>
                <a:ext uri="{FF2B5EF4-FFF2-40B4-BE49-F238E27FC236}">
                  <a16:creationId xmlns:a16="http://schemas.microsoft.com/office/drawing/2014/main" id="{04B89B56-07A7-8C14-3375-277589C92D36}"/>
                </a:ext>
              </a:extLst>
            </xdr:cNvPr>
            <xdr:cNvCxnSpPr/>
          </xdr:nvCxnSpPr>
          <xdr:spPr>
            <a:xfrm flipV="1">
              <a:off x="7046425"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77" name="Connecteur droit 78">
              <a:extLst>
                <a:ext uri="{FF2B5EF4-FFF2-40B4-BE49-F238E27FC236}">
                  <a16:creationId xmlns:a16="http://schemas.microsoft.com/office/drawing/2014/main" id="{983BE2B3-A000-D7C8-BB11-2DFD2123E2DB}"/>
                </a:ext>
              </a:extLst>
            </xdr:cNvPr>
            <xdr:cNvCxnSpPr/>
          </xdr:nvCxnSpPr>
          <xdr:spPr>
            <a:xfrm flipV="1">
              <a:off x="75996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78" name="Connecteur droit 78">
              <a:extLst>
                <a:ext uri="{FF2B5EF4-FFF2-40B4-BE49-F238E27FC236}">
                  <a16:creationId xmlns:a16="http://schemas.microsoft.com/office/drawing/2014/main" id="{4B2C81D8-69A6-D33C-937B-3F14235B0FBF}"/>
                </a:ext>
              </a:extLst>
            </xdr:cNvPr>
            <xdr:cNvCxnSpPr/>
          </xdr:nvCxnSpPr>
          <xdr:spPr>
            <a:xfrm flipV="1">
              <a:off x="73583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79" name="Connecteur droit 78">
              <a:extLst>
                <a:ext uri="{FF2B5EF4-FFF2-40B4-BE49-F238E27FC236}">
                  <a16:creationId xmlns:a16="http://schemas.microsoft.com/office/drawing/2014/main" id="{CAC8F820-BAFA-4626-4FEA-BBBA2D1A36D5}"/>
                </a:ext>
              </a:extLst>
            </xdr:cNvPr>
            <xdr:cNvCxnSpPr/>
          </xdr:nvCxnSpPr>
          <xdr:spPr>
            <a:xfrm flipV="1">
              <a:off x="681224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cxnSp macro="">
          <xdr:nvCxnSpPr>
            <xdr:cNvPr id="85" name="Connecteur droit 78">
              <a:extLst>
                <a:ext uri="{FF2B5EF4-FFF2-40B4-BE49-F238E27FC236}">
                  <a16:creationId xmlns:a16="http://schemas.microsoft.com/office/drawing/2014/main" id="{396F5BC5-10E4-61E8-DC7A-FE10D19262F7}"/>
                </a:ext>
              </a:extLst>
            </xdr:cNvPr>
            <xdr:cNvCxnSpPr/>
          </xdr:nvCxnSpPr>
          <xdr:spPr>
            <a:xfrm flipV="1">
              <a:off x="6031192" y="33807402"/>
              <a:ext cx="0" cy="647698"/>
            </a:xfrm>
            <a:prstGeom prst="line">
              <a:avLst/>
            </a:prstGeom>
            <a:ln>
              <a:solidFill>
                <a:schemeClr val="bg1">
                  <a:lumMod val="75000"/>
                </a:schemeClr>
              </a:solidFill>
            </a:ln>
          </xdr:spPr>
          <xdr:style>
            <a:lnRef idx="1">
              <a:schemeClr val="dk1"/>
            </a:lnRef>
            <a:fillRef idx="0">
              <a:schemeClr val="dk1"/>
            </a:fillRef>
            <a:effectRef idx="0">
              <a:schemeClr val="dk1"/>
            </a:effectRef>
            <a:fontRef idx="minor">
              <a:schemeClr val="tx1"/>
            </a:fontRef>
          </xdr:style>
        </xdr:cxnSp>
      </xdr:grpSp>
      <xdr:sp macro="" textlink="">
        <xdr:nvSpPr>
          <xdr:cNvPr id="57" name="ZoneTexte 57">
            <a:extLst>
              <a:ext uri="{FF2B5EF4-FFF2-40B4-BE49-F238E27FC236}">
                <a16:creationId xmlns:a16="http://schemas.microsoft.com/office/drawing/2014/main" id="{21906FB3-0C35-B674-A222-DF8D6B7CE528}"/>
              </a:ext>
            </a:extLst>
          </xdr:cNvPr>
          <xdr:cNvSpPr txBox="1"/>
        </xdr:nvSpPr>
        <xdr:spPr>
          <a:xfrm>
            <a:off x="5922870" y="33579573"/>
            <a:ext cx="387626"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0</a:t>
            </a:r>
          </a:p>
        </xdr:txBody>
      </xdr:sp>
      <xdr:sp macro="" textlink="">
        <xdr:nvSpPr>
          <xdr:cNvPr id="58" name="ZoneTexte 98">
            <a:extLst>
              <a:ext uri="{FF2B5EF4-FFF2-40B4-BE49-F238E27FC236}">
                <a16:creationId xmlns:a16="http://schemas.microsoft.com/office/drawing/2014/main" id="{08B3EC61-809D-13F2-4ADE-538707BFFF17}"/>
              </a:ext>
            </a:extLst>
          </xdr:cNvPr>
          <xdr:cNvSpPr txBox="1"/>
        </xdr:nvSpPr>
        <xdr:spPr>
          <a:xfrm>
            <a:off x="6679007" y="3357957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50</a:t>
            </a:r>
          </a:p>
        </xdr:txBody>
      </xdr:sp>
      <xdr:sp macro="" textlink="">
        <xdr:nvSpPr>
          <xdr:cNvPr id="59" name="ZoneTexte 99">
            <a:extLst>
              <a:ext uri="{FF2B5EF4-FFF2-40B4-BE49-F238E27FC236}">
                <a16:creationId xmlns:a16="http://schemas.microsoft.com/office/drawing/2014/main" id="{DCC1A5DB-D8F8-9035-3C08-7C4EF73C5714}"/>
              </a:ext>
            </a:extLst>
          </xdr:cNvPr>
          <xdr:cNvSpPr txBox="1"/>
        </xdr:nvSpPr>
        <xdr:spPr>
          <a:xfrm>
            <a:off x="6925084" y="33579573"/>
            <a:ext cx="23666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65</a:t>
            </a:r>
          </a:p>
        </xdr:txBody>
      </xdr:sp>
      <xdr:sp macro="" textlink="">
        <xdr:nvSpPr>
          <xdr:cNvPr id="60" name="ZoneTexte 100">
            <a:extLst>
              <a:ext uri="{FF2B5EF4-FFF2-40B4-BE49-F238E27FC236}">
                <a16:creationId xmlns:a16="http://schemas.microsoft.com/office/drawing/2014/main" id="{D44C4740-1166-DA33-2C3C-F843C28281C2}"/>
              </a:ext>
            </a:extLst>
          </xdr:cNvPr>
          <xdr:cNvSpPr txBox="1"/>
        </xdr:nvSpPr>
        <xdr:spPr>
          <a:xfrm>
            <a:off x="7227213" y="33579573"/>
            <a:ext cx="179518"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85</a:t>
            </a:r>
          </a:p>
        </xdr:txBody>
      </xdr:sp>
      <xdr:sp macro="" textlink="">
        <xdr:nvSpPr>
          <xdr:cNvPr id="61" name="ZoneTexte 103">
            <a:extLst>
              <a:ext uri="{FF2B5EF4-FFF2-40B4-BE49-F238E27FC236}">
                <a16:creationId xmlns:a16="http://schemas.microsoft.com/office/drawing/2014/main" id="{66AB6D7E-D0ED-F530-4440-4FC7A7C691F2}"/>
              </a:ext>
            </a:extLst>
          </xdr:cNvPr>
          <xdr:cNvSpPr txBox="1"/>
        </xdr:nvSpPr>
        <xdr:spPr>
          <a:xfrm>
            <a:off x="7715551" y="33579573"/>
            <a:ext cx="348473"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a:t>
            </a:r>
          </a:p>
        </xdr:txBody>
      </xdr:sp>
      <xdr:sp macro="" textlink="">
        <xdr:nvSpPr>
          <xdr:cNvPr id="68" name="ZoneTexte 101">
            <a:extLst>
              <a:ext uri="{FF2B5EF4-FFF2-40B4-BE49-F238E27FC236}">
                <a16:creationId xmlns:a16="http://schemas.microsoft.com/office/drawing/2014/main" id="{B2B48B65-BF9B-9466-04F4-BAB539B774CF}"/>
              </a:ext>
            </a:extLst>
          </xdr:cNvPr>
          <xdr:cNvSpPr txBox="1"/>
        </xdr:nvSpPr>
        <xdr:spPr>
          <a:xfrm>
            <a:off x="7431161" y="33579573"/>
            <a:ext cx="450629" cy="255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r>
              <a:rPr lang="fr-CH" sz="700"/>
              <a:t>100</a:t>
            </a:r>
          </a:p>
        </xdr:txBody>
      </xdr:sp>
    </xdr:grpSp>
    <xdr:clientData/>
  </xdr:twoCellAnchor>
  <xdr:twoCellAnchor>
    <xdr:from>
      <xdr:col>2</xdr:col>
      <xdr:colOff>20587</xdr:colOff>
      <xdr:row>119</xdr:row>
      <xdr:rowOff>6056</xdr:rowOff>
    </xdr:from>
    <xdr:to>
      <xdr:col>28</xdr:col>
      <xdr:colOff>31639</xdr:colOff>
      <xdr:row>176</xdr:row>
      <xdr:rowOff>105999</xdr:rowOff>
    </xdr:to>
    <xdr:grpSp>
      <xdr:nvGrpSpPr>
        <xdr:cNvPr id="8" name="Piktogramme_Pre-Kli">
          <a:extLst>
            <a:ext uri="{FF2B5EF4-FFF2-40B4-BE49-F238E27FC236}">
              <a16:creationId xmlns:a16="http://schemas.microsoft.com/office/drawing/2014/main" id="{B3DCA385-3534-A966-48C8-F14E6EA6EEDE}"/>
            </a:ext>
          </a:extLst>
        </xdr:cNvPr>
        <xdr:cNvGrpSpPr/>
      </xdr:nvGrpSpPr>
      <xdr:grpSpPr>
        <a:xfrm>
          <a:off x="506175" y="25331350"/>
          <a:ext cx="13039758" cy="6696473"/>
          <a:chOff x="501373" y="24888985"/>
          <a:chExt cx="13019480" cy="6749300"/>
        </a:xfrm>
      </xdr:grpSpPr>
      <xdr:pic>
        <xdr:nvPicPr>
          <xdr:cNvPr id="206" name="Grafik 205">
            <a:extLst>
              <a:ext uri="{FF2B5EF4-FFF2-40B4-BE49-F238E27FC236}">
                <a16:creationId xmlns:a16="http://schemas.microsoft.com/office/drawing/2014/main" id="{DF399F78-AFF9-254A-2EE8-E12094EEDB87}"/>
              </a:ext>
            </a:extLst>
          </xdr:cNvPr>
          <xdr:cNvPicPr>
            <a:picLocks/>
          </xdr:cNvPicPr>
        </xdr:nvPicPr>
        <xdr:blipFill>
          <a:blip xmlns:r="http://schemas.openxmlformats.org/officeDocument/2006/relationships" r:embed="rId3"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01373" y="26488571"/>
            <a:ext cx="355876" cy="360000"/>
          </a:xfrm>
          <a:prstGeom prst="rect">
            <a:avLst/>
          </a:prstGeom>
        </xdr:spPr>
      </xdr:pic>
      <xdr:pic>
        <xdr:nvPicPr>
          <xdr:cNvPr id="208" name="Grafik 207">
            <a:extLst>
              <a:ext uri="{FF2B5EF4-FFF2-40B4-BE49-F238E27FC236}">
                <a16:creationId xmlns:a16="http://schemas.microsoft.com/office/drawing/2014/main" id="{FCE7D013-DFEE-FD2E-67E6-8968E9494851}"/>
              </a:ext>
            </a:extLst>
          </xdr:cNvPr>
          <xdr:cNvPicPr>
            <a:picLocks/>
          </xdr:cNvPicPr>
        </xdr:nvPicPr>
        <xdr:blipFill>
          <a:blip xmlns:r="http://schemas.openxmlformats.org/officeDocument/2006/relationships" r:embed="rId4"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10255" y="25418143"/>
            <a:ext cx="355876" cy="360000"/>
          </a:xfrm>
          <a:prstGeom prst="rect">
            <a:avLst/>
          </a:prstGeom>
        </xdr:spPr>
      </xdr:pic>
      <xdr:pic>
        <xdr:nvPicPr>
          <xdr:cNvPr id="210" name="Grafik 209">
            <a:extLst>
              <a:ext uri="{FF2B5EF4-FFF2-40B4-BE49-F238E27FC236}">
                <a16:creationId xmlns:a16="http://schemas.microsoft.com/office/drawing/2014/main" id="{4180A1DB-61C3-2049-9CE4-C61F1A788FA9}"/>
              </a:ext>
            </a:extLst>
          </xdr:cNvPr>
          <xdr:cNvPicPr>
            <a:picLocks/>
          </xdr:cNvPicPr>
        </xdr:nvPicPr>
        <xdr:blipFill>
          <a:blip xmlns:r="http://schemas.openxmlformats.org/officeDocument/2006/relationships" r:embed="rId5"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10255" y="25812670"/>
            <a:ext cx="355876" cy="364123"/>
          </a:xfrm>
          <a:prstGeom prst="rect">
            <a:avLst/>
          </a:prstGeom>
        </xdr:spPr>
      </xdr:pic>
      <xdr:pic>
        <xdr:nvPicPr>
          <xdr:cNvPr id="212" name="Grafik 211">
            <a:extLst>
              <a:ext uri="{FF2B5EF4-FFF2-40B4-BE49-F238E27FC236}">
                <a16:creationId xmlns:a16="http://schemas.microsoft.com/office/drawing/2014/main" id="{1E5BF2F4-89AE-6200-B5C8-D05329DE1AA8}"/>
              </a:ext>
            </a:extLst>
          </xdr:cNvPr>
          <xdr:cNvPicPr>
            <a:picLocks/>
          </xdr:cNvPicPr>
        </xdr:nvPicPr>
        <xdr:blipFill>
          <a:blip xmlns:r="http://schemas.openxmlformats.org/officeDocument/2006/relationships" r:embed="rId6"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508844" y="24888985"/>
            <a:ext cx="355876" cy="360000"/>
          </a:xfrm>
          <a:prstGeom prst="rect">
            <a:avLst/>
          </a:prstGeom>
        </xdr:spPr>
      </xdr:pic>
      <xdr:pic>
        <xdr:nvPicPr>
          <xdr:cNvPr id="213" name="Grafik 212">
            <a:extLst>
              <a:ext uri="{FF2B5EF4-FFF2-40B4-BE49-F238E27FC236}">
                <a16:creationId xmlns:a16="http://schemas.microsoft.com/office/drawing/2014/main" id="{D64C66D0-7364-4112-ADEF-F8C5B61AD9B5}"/>
              </a:ext>
            </a:extLst>
          </xdr:cNvPr>
          <xdr:cNvPicPr>
            <a:picLocks noChangeAspect="1"/>
          </xdr:cNvPicPr>
        </xdr:nvPicPr>
        <xdr:blipFill>
          <a:blip xmlns:r="http://schemas.openxmlformats.org/officeDocument/2006/relationships" r:embed="rId7"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37873" y="26509571"/>
            <a:ext cx="353474" cy="360000"/>
          </a:xfrm>
          <a:prstGeom prst="rect">
            <a:avLst/>
          </a:prstGeom>
        </xdr:spPr>
      </xdr:pic>
      <xdr:pic>
        <xdr:nvPicPr>
          <xdr:cNvPr id="214" name="Grafik 213">
            <a:extLst>
              <a:ext uri="{FF2B5EF4-FFF2-40B4-BE49-F238E27FC236}">
                <a16:creationId xmlns:a16="http://schemas.microsoft.com/office/drawing/2014/main" id="{508F1376-A839-4372-9018-E059D605E461}"/>
              </a:ext>
            </a:extLst>
          </xdr:cNvPr>
          <xdr:cNvPicPr>
            <a:picLocks noChangeAspect="1"/>
          </xdr:cNvPicPr>
        </xdr:nvPicPr>
        <xdr:blipFill>
          <a:blip xmlns:r="http://schemas.openxmlformats.org/officeDocument/2006/relationships" r:embed="rId8"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46755" y="25443543"/>
            <a:ext cx="359321" cy="360000"/>
          </a:xfrm>
          <a:prstGeom prst="rect">
            <a:avLst/>
          </a:prstGeom>
        </xdr:spPr>
      </xdr:pic>
      <xdr:pic>
        <xdr:nvPicPr>
          <xdr:cNvPr id="215" name="Grafik 214">
            <a:extLst>
              <a:ext uri="{FF2B5EF4-FFF2-40B4-BE49-F238E27FC236}">
                <a16:creationId xmlns:a16="http://schemas.microsoft.com/office/drawing/2014/main" id="{621EA490-D1C5-4FE6-AAF6-430C0592ACBC}"/>
              </a:ext>
            </a:extLst>
          </xdr:cNvPr>
          <xdr:cNvPicPr>
            <a:picLocks noChangeAspect="1"/>
          </xdr:cNvPicPr>
        </xdr:nvPicPr>
        <xdr:blipFill>
          <a:blip xmlns:r="http://schemas.openxmlformats.org/officeDocument/2006/relationships" r:embed="rId9"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46755" y="25851757"/>
            <a:ext cx="359321" cy="360679"/>
          </a:xfrm>
          <a:prstGeom prst="rect">
            <a:avLst/>
          </a:prstGeom>
        </xdr:spPr>
      </xdr:pic>
      <xdr:pic>
        <xdr:nvPicPr>
          <xdr:cNvPr id="216" name="Grafik 215">
            <a:extLst>
              <a:ext uri="{FF2B5EF4-FFF2-40B4-BE49-F238E27FC236}">
                <a16:creationId xmlns:a16="http://schemas.microsoft.com/office/drawing/2014/main" id="{0975EADD-3BAC-4F3B-88F8-8EA6D611DEF2}"/>
              </a:ext>
            </a:extLst>
          </xdr:cNvPr>
          <xdr:cNvPicPr>
            <a:picLocks noChangeAspect="1"/>
          </xdr:cNvPicPr>
        </xdr:nvPicPr>
        <xdr:blipFill>
          <a:blip xmlns:r="http://schemas.openxmlformats.org/officeDocument/2006/relationships" r:embed="rId10" cstate="print">
            <a:clrChange>
              <a:clrFrom>
                <a:srgbClr val="FBC6C5"/>
              </a:clrFrom>
              <a:clrTo>
                <a:srgbClr val="FBC6C5">
                  <a:alpha val="0"/>
                </a:srgbClr>
              </a:clrTo>
            </a:clrChange>
            <a:extLst>
              <a:ext uri="{28A0092B-C50C-407E-A947-70E740481C1C}">
                <a14:useLocalDpi xmlns:a14="http://schemas.microsoft.com/office/drawing/2010/main" val="0"/>
              </a:ext>
            </a:extLst>
          </a:blip>
          <a:stretch>
            <a:fillRect/>
          </a:stretch>
        </xdr:blipFill>
        <xdr:spPr>
          <a:xfrm>
            <a:off x="13145344" y="24914385"/>
            <a:ext cx="359321" cy="360000"/>
          </a:xfrm>
          <a:prstGeom prst="rect">
            <a:avLst/>
          </a:prstGeom>
        </xdr:spPr>
      </xdr:pic>
      <xdr:pic>
        <xdr:nvPicPr>
          <xdr:cNvPr id="225" name="Grafik 224">
            <a:extLst>
              <a:ext uri="{FF2B5EF4-FFF2-40B4-BE49-F238E27FC236}">
                <a16:creationId xmlns:a16="http://schemas.microsoft.com/office/drawing/2014/main" id="{0A66275F-CE8E-EDC2-93D0-EFF1D04DD38A}"/>
              </a:ext>
            </a:extLst>
          </xdr:cNvPr>
          <xdr:cNvPicPr>
            <a:picLocks/>
          </xdr:cNvPicPr>
        </xdr:nvPicPr>
        <xdr:blipFill>
          <a:blip xmlns:r="http://schemas.openxmlformats.org/officeDocument/2006/relationships" r:embed="rId11"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18141" y="27835414"/>
            <a:ext cx="355876" cy="360000"/>
          </a:xfrm>
          <a:prstGeom prst="rect">
            <a:avLst/>
          </a:prstGeom>
        </xdr:spPr>
      </xdr:pic>
      <xdr:pic>
        <xdr:nvPicPr>
          <xdr:cNvPr id="227" name="Grafik 226">
            <a:extLst>
              <a:ext uri="{FF2B5EF4-FFF2-40B4-BE49-F238E27FC236}">
                <a16:creationId xmlns:a16="http://schemas.microsoft.com/office/drawing/2014/main" id="{3E550979-75A3-0BE7-4F1A-8150F276D847}"/>
              </a:ext>
            </a:extLst>
          </xdr:cNvPr>
          <xdr:cNvPicPr>
            <a:picLocks/>
          </xdr:cNvPicPr>
        </xdr:nvPicPr>
        <xdr:blipFill>
          <a:blip xmlns:r="http://schemas.openxmlformats.org/officeDocument/2006/relationships" r:embed="rId12"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20084" y="28235421"/>
            <a:ext cx="355876" cy="360000"/>
          </a:xfrm>
          <a:prstGeom prst="rect">
            <a:avLst/>
          </a:prstGeom>
        </xdr:spPr>
      </xdr:pic>
      <xdr:pic>
        <xdr:nvPicPr>
          <xdr:cNvPr id="229" name="Grafik 228">
            <a:extLst>
              <a:ext uri="{FF2B5EF4-FFF2-40B4-BE49-F238E27FC236}">
                <a16:creationId xmlns:a16="http://schemas.microsoft.com/office/drawing/2014/main" id="{582F9327-2380-B67E-8BA1-B58FA1E7D91E}"/>
              </a:ext>
            </a:extLst>
          </xdr:cNvPr>
          <xdr:cNvPicPr>
            <a:picLocks/>
          </xdr:cNvPicPr>
        </xdr:nvPicPr>
        <xdr:blipFill>
          <a:blip xmlns:r="http://schemas.openxmlformats.org/officeDocument/2006/relationships" r:embed="rId13"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512613" y="28636899"/>
            <a:ext cx="355876" cy="360000"/>
          </a:xfrm>
          <a:prstGeom prst="rect">
            <a:avLst/>
          </a:prstGeom>
        </xdr:spPr>
      </xdr:pic>
      <xdr:pic>
        <xdr:nvPicPr>
          <xdr:cNvPr id="230" name="Grafik 229">
            <a:extLst>
              <a:ext uri="{FF2B5EF4-FFF2-40B4-BE49-F238E27FC236}">
                <a16:creationId xmlns:a16="http://schemas.microsoft.com/office/drawing/2014/main" id="{634D7EE1-73F2-402C-B6C8-3B6934F3BAD8}"/>
              </a:ext>
            </a:extLst>
          </xdr:cNvPr>
          <xdr:cNvPicPr>
            <a:picLocks noChangeAspect="1"/>
          </xdr:cNvPicPr>
        </xdr:nvPicPr>
        <xdr:blipFill>
          <a:blip xmlns:r="http://schemas.openxmlformats.org/officeDocument/2006/relationships" r:embed="rId11"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13154641" y="27801942"/>
            <a:ext cx="364948" cy="359321"/>
          </a:xfrm>
          <a:prstGeom prst="rect">
            <a:avLst/>
          </a:prstGeom>
        </xdr:spPr>
      </xdr:pic>
      <xdr:pic>
        <xdr:nvPicPr>
          <xdr:cNvPr id="231" name="Grafik 230">
            <a:extLst>
              <a:ext uri="{FF2B5EF4-FFF2-40B4-BE49-F238E27FC236}">
                <a16:creationId xmlns:a16="http://schemas.microsoft.com/office/drawing/2014/main" id="{FFF885CF-91D4-4476-8805-12076BF46A21}"/>
              </a:ext>
            </a:extLst>
          </xdr:cNvPr>
          <xdr:cNvPicPr>
            <a:picLocks noChangeAspect="1"/>
          </xdr:cNvPicPr>
        </xdr:nvPicPr>
        <xdr:blipFill>
          <a:blip xmlns:r="http://schemas.openxmlformats.org/officeDocument/2006/relationships" r:embed="rId12" cstate="print">
            <a:clrChange>
              <a:clrFrom>
                <a:srgbClr val="D5EFF5"/>
              </a:clrFrom>
              <a:clrTo>
                <a:srgbClr val="D5EFF5">
                  <a:alpha val="0"/>
                </a:srgbClr>
              </a:clrTo>
            </a:clrChange>
            <a:extLst>
              <a:ext uri="{28A0092B-C50C-407E-A947-70E740481C1C}">
                <a14:useLocalDpi xmlns:a14="http://schemas.microsoft.com/office/drawing/2010/main" val="0"/>
              </a:ext>
            </a:extLst>
          </a:blip>
          <a:stretch>
            <a:fillRect/>
          </a:stretch>
        </xdr:blipFill>
        <xdr:spPr>
          <a:xfrm>
            <a:off x="13156584" y="28219249"/>
            <a:ext cx="364269" cy="359321"/>
          </a:xfrm>
          <a:prstGeom prst="rect">
            <a:avLst/>
          </a:prstGeom>
        </xdr:spPr>
      </xdr:pic>
      <xdr:pic>
        <xdr:nvPicPr>
          <xdr:cNvPr id="244" name="Grafik 243">
            <a:extLst>
              <a:ext uri="{FF2B5EF4-FFF2-40B4-BE49-F238E27FC236}">
                <a16:creationId xmlns:a16="http://schemas.microsoft.com/office/drawing/2014/main" id="{A5B27022-7DB5-6DCC-076B-EE9E88916629}"/>
              </a:ext>
            </a:extLst>
          </xdr:cNvPr>
          <xdr:cNvPicPr>
            <a:picLocks/>
          </xdr:cNvPicPr>
        </xdr:nvPicPr>
        <xdr:blipFill>
          <a:blip xmlns:r="http://schemas.openxmlformats.org/officeDocument/2006/relationships" r:embed="rId14" cstate="print">
            <a:clrChange>
              <a:clrFrom>
                <a:srgbClr val="DAECD0"/>
              </a:clrFrom>
              <a:clrTo>
                <a:srgbClr val="DAECD0">
                  <a:alpha val="0"/>
                </a:srgbClr>
              </a:clrTo>
            </a:clrChange>
            <a:extLst>
              <a:ext uri="{28A0092B-C50C-407E-A947-70E740481C1C}">
                <a14:useLocalDpi xmlns:a14="http://schemas.microsoft.com/office/drawing/2010/main" val="0"/>
              </a:ext>
            </a:extLst>
          </a:blip>
          <a:stretch>
            <a:fillRect/>
          </a:stretch>
        </xdr:blipFill>
        <xdr:spPr>
          <a:xfrm>
            <a:off x="520084" y="30090971"/>
            <a:ext cx="355876" cy="360000"/>
          </a:xfrm>
          <a:prstGeom prst="rect">
            <a:avLst/>
          </a:prstGeom>
        </xdr:spPr>
      </xdr:pic>
      <xdr:pic>
        <xdr:nvPicPr>
          <xdr:cNvPr id="246" name="Grafik 245">
            <a:extLst>
              <a:ext uri="{FF2B5EF4-FFF2-40B4-BE49-F238E27FC236}">
                <a16:creationId xmlns:a16="http://schemas.microsoft.com/office/drawing/2014/main" id="{9FC5A9B2-D3BB-21E3-2B92-7694802C4C9A}"/>
              </a:ext>
            </a:extLst>
          </xdr:cNvPr>
          <xdr:cNvPicPr>
            <a:picLocks/>
          </xdr:cNvPicPr>
        </xdr:nvPicPr>
        <xdr:blipFill>
          <a:blip xmlns:r="http://schemas.openxmlformats.org/officeDocument/2006/relationships" r:embed="rId15" cstate="print">
            <a:clrChange>
              <a:clrFrom>
                <a:srgbClr val="DCEDD1"/>
              </a:clrFrom>
              <a:clrTo>
                <a:srgbClr val="DCEDD1">
                  <a:alpha val="0"/>
                </a:srgbClr>
              </a:clrTo>
            </a:clrChange>
            <a:extLst>
              <a:ext uri="{28A0092B-C50C-407E-A947-70E740481C1C}">
                <a14:useLocalDpi xmlns:a14="http://schemas.microsoft.com/office/drawing/2010/main" val="0"/>
              </a:ext>
            </a:extLst>
          </a:blip>
          <a:stretch>
            <a:fillRect/>
          </a:stretch>
        </xdr:blipFill>
        <xdr:spPr>
          <a:xfrm>
            <a:off x="519790" y="31274161"/>
            <a:ext cx="355876" cy="364124"/>
          </a:xfrm>
          <a:prstGeom prst="rect">
            <a:avLst/>
          </a:prstGeom>
        </xdr:spPr>
      </xdr:pic>
      <xdr:pic>
        <xdr:nvPicPr>
          <xdr:cNvPr id="248" name="Grafik 247">
            <a:extLst>
              <a:ext uri="{FF2B5EF4-FFF2-40B4-BE49-F238E27FC236}">
                <a16:creationId xmlns:a16="http://schemas.microsoft.com/office/drawing/2014/main" id="{DB754C16-2B24-C43F-F382-FC8AEB525712}"/>
              </a:ext>
            </a:extLst>
          </xdr:cNvPr>
          <xdr:cNvPicPr preferRelativeResize="0">
            <a:picLocks/>
          </xdr:cNvPicPr>
        </xdr:nvPicPr>
        <xdr:blipFill>
          <a:blip xmlns:r="http://schemas.openxmlformats.org/officeDocument/2006/relationships" r:embed="rId16" cstate="print">
            <a:clrChange>
              <a:clrFrom>
                <a:srgbClr val="DEEED3"/>
              </a:clrFrom>
              <a:clrTo>
                <a:srgbClr val="DEEED3">
                  <a:alpha val="0"/>
                </a:srgbClr>
              </a:clrTo>
            </a:clrChange>
            <a:extLst>
              <a:ext uri="{28A0092B-C50C-407E-A947-70E740481C1C}">
                <a14:useLocalDpi xmlns:a14="http://schemas.microsoft.com/office/drawing/2010/main" val="0"/>
              </a:ext>
            </a:extLst>
          </a:blip>
          <a:stretch>
            <a:fillRect/>
          </a:stretch>
        </xdr:blipFill>
        <xdr:spPr>
          <a:xfrm>
            <a:off x="510066" y="30670497"/>
            <a:ext cx="355876" cy="360000"/>
          </a:xfrm>
          <a:prstGeom prst="rect">
            <a:avLst/>
          </a:prstGeom>
        </xdr:spPr>
      </xdr:pic>
      <xdr:pic>
        <xdr:nvPicPr>
          <xdr:cNvPr id="249" name="Grafik 248">
            <a:extLst>
              <a:ext uri="{FF2B5EF4-FFF2-40B4-BE49-F238E27FC236}">
                <a16:creationId xmlns:a16="http://schemas.microsoft.com/office/drawing/2014/main" id="{595085A2-8B44-44F3-B6C4-706AD307DF51}"/>
              </a:ext>
            </a:extLst>
          </xdr:cNvPr>
          <xdr:cNvPicPr preferRelativeResize="0">
            <a:picLocks/>
          </xdr:cNvPicPr>
        </xdr:nvPicPr>
        <xdr:blipFill>
          <a:blip xmlns:r="http://schemas.openxmlformats.org/officeDocument/2006/relationships" r:embed="rId17" cstate="print">
            <a:clrChange>
              <a:clrFrom>
                <a:srgbClr val="DBEDCE"/>
              </a:clrFrom>
              <a:clrTo>
                <a:srgbClr val="DBEDCE">
                  <a:alpha val="0"/>
                </a:srgbClr>
              </a:clrTo>
            </a:clrChange>
            <a:extLst>
              <a:ext uri="{28A0092B-C50C-407E-A947-70E740481C1C}">
                <a14:useLocalDpi xmlns:a14="http://schemas.microsoft.com/office/drawing/2010/main" val="0"/>
              </a:ext>
            </a:extLst>
          </a:blip>
          <a:stretch>
            <a:fillRect/>
          </a:stretch>
        </xdr:blipFill>
        <xdr:spPr>
          <a:xfrm>
            <a:off x="13153756" y="29673795"/>
            <a:ext cx="362473" cy="360000"/>
          </a:xfrm>
          <a:prstGeom prst="rect">
            <a:avLst/>
          </a:prstGeom>
        </xdr:spPr>
      </xdr:pic>
      <xdr:pic>
        <xdr:nvPicPr>
          <xdr:cNvPr id="250" name="Grafik 249">
            <a:extLst>
              <a:ext uri="{FF2B5EF4-FFF2-40B4-BE49-F238E27FC236}">
                <a16:creationId xmlns:a16="http://schemas.microsoft.com/office/drawing/2014/main" id="{0D4959EE-E4C2-4723-873C-04005048CC33}"/>
              </a:ext>
            </a:extLst>
          </xdr:cNvPr>
          <xdr:cNvPicPr>
            <a:picLocks/>
          </xdr:cNvPicPr>
        </xdr:nvPicPr>
        <xdr:blipFill>
          <a:blip xmlns:r="http://schemas.openxmlformats.org/officeDocument/2006/relationships" r:embed="rId18" cstate="print">
            <a:clrChange>
              <a:clrFrom>
                <a:srgbClr val="DAECD0"/>
              </a:clrFrom>
              <a:clrTo>
                <a:srgbClr val="DAECD0">
                  <a:alpha val="0"/>
                </a:srgbClr>
              </a:clrTo>
            </a:clrChange>
            <a:extLst>
              <a:ext uri="{28A0092B-C50C-407E-A947-70E740481C1C}">
                <a14:useLocalDpi xmlns:a14="http://schemas.microsoft.com/office/drawing/2010/main" val="0"/>
              </a:ext>
            </a:extLst>
          </a:blip>
          <a:stretch>
            <a:fillRect/>
          </a:stretch>
        </xdr:blipFill>
        <xdr:spPr>
          <a:xfrm>
            <a:off x="13150393" y="30075056"/>
            <a:ext cx="362473" cy="364123"/>
          </a:xfrm>
          <a:prstGeom prst="rect">
            <a:avLst/>
          </a:prstGeom>
        </xdr:spPr>
      </xdr:pic>
      <xdr:pic>
        <xdr:nvPicPr>
          <xdr:cNvPr id="251" name="Grafik 250">
            <a:extLst>
              <a:ext uri="{FF2B5EF4-FFF2-40B4-BE49-F238E27FC236}">
                <a16:creationId xmlns:a16="http://schemas.microsoft.com/office/drawing/2014/main" id="{F96394E9-A40D-4AD2-AC29-09862E6E58AC}"/>
              </a:ext>
            </a:extLst>
          </xdr:cNvPr>
          <xdr:cNvPicPr>
            <a:picLocks/>
          </xdr:cNvPicPr>
        </xdr:nvPicPr>
        <xdr:blipFill>
          <a:blip xmlns:r="http://schemas.openxmlformats.org/officeDocument/2006/relationships" r:embed="rId19" cstate="print">
            <a:clrChange>
              <a:clrFrom>
                <a:srgbClr val="DCEDD1"/>
              </a:clrFrom>
              <a:clrTo>
                <a:srgbClr val="DCEDD1">
                  <a:alpha val="0"/>
                </a:srgbClr>
              </a:clrTo>
            </a:clrChange>
            <a:extLst>
              <a:ext uri="{28A0092B-C50C-407E-A947-70E740481C1C}">
                <a14:useLocalDpi xmlns:a14="http://schemas.microsoft.com/office/drawing/2010/main" val="0"/>
              </a:ext>
            </a:extLst>
          </a:blip>
          <a:stretch>
            <a:fillRect/>
          </a:stretch>
        </xdr:blipFill>
        <xdr:spPr>
          <a:xfrm>
            <a:off x="13150099" y="31270258"/>
            <a:ext cx="362473" cy="364124"/>
          </a:xfrm>
          <a:prstGeom prst="rect">
            <a:avLst/>
          </a:prstGeom>
        </xdr:spPr>
      </xdr:pic>
      <xdr:pic>
        <xdr:nvPicPr>
          <xdr:cNvPr id="252" name="Grafik 251">
            <a:extLst>
              <a:ext uri="{FF2B5EF4-FFF2-40B4-BE49-F238E27FC236}">
                <a16:creationId xmlns:a16="http://schemas.microsoft.com/office/drawing/2014/main" id="{8C1D446C-E1A2-41E4-96A1-713F87C260A6}"/>
              </a:ext>
            </a:extLst>
          </xdr:cNvPr>
          <xdr:cNvPicPr>
            <a:picLocks/>
          </xdr:cNvPicPr>
        </xdr:nvPicPr>
        <xdr:blipFill>
          <a:blip xmlns:r="http://schemas.openxmlformats.org/officeDocument/2006/relationships" r:embed="rId20" cstate="print">
            <a:clrChange>
              <a:clrFrom>
                <a:srgbClr val="DEEED3"/>
              </a:clrFrom>
              <a:clrTo>
                <a:srgbClr val="DEEED3">
                  <a:alpha val="0"/>
                </a:srgbClr>
              </a:clrTo>
            </a:clrChange>
            <a:extLst>
              <a:ext uri="{28A0092B-C50C-407E-A947-70E740481C1C}">
                <a14:useLocalDpi xmlns:a14="http://schemas.microsoft.com/office/drawing/2010/main" val="0"/>
              </a:ext>
            </a:extLst>
          </a:blip>
          <a:stretch>
            <a:fillRect/>
          </a:stretch>
        </xdr:blipFill>
        <xdr:spPr>
          <a:xfrm>
            <a:off x="13140375" y="30663899"/>
            <a:ext cx="362473" cy="360000"/>
          </a:xfrm>
          <a:prstGeom prst="rect">
            <a:avLst/>
          </a:prstGeom>
        </xdr:spPr>
      </xdr:pic>
      <xdr:pic>
        <xdr:nvPicPr>
          <xdr:cNvPr id="4" name="Grafik 3">
            <a:extLst>
              <a:ext uri="{FF2B5EF4-FFF2-40B4-BE49-F238E27FC236}">
                <a16:creationId xmlns:a16="http://schemas.microsoft.com/office/drawing/2014/main" id="{C9DC7C65-0C42-631F-E8E5-98EB8B94DFBC}"/>
              </a:ext>
            </a:extLst>
          </xdr:cNvPr>
          <xdr:cNvPicPr preferRelativeResize="0">
            <a:picLocks/>
          </xdr:cNvPicPr>
        </xdr:nvPicPr>
        <xdr:blipFill>
          <a:blip xmlns:r="http://schemas.openxmlformats.org/officeDocument/2006/relationships" r:embed="rId17" cstate="print">
            <a:clrChange>
              <a:clrFrom>
                <a:srgbClr val="DBEDCE"/>
              </a:clrFrom>
              <a:clrTo>
                <a:srgbClr val="DBEDCE">
                  <a:alpha val="0"/>
                </a:srgbClr>
              </a:clrTo>
            </a:clrChange>
            <a:extLst>
              <a:ext uri="{28A0092B-C50C-407E-A947-70E740481C1C}">
                <a14:useLocalDpi xmlns:a14="http://schemas.microsoft.com/office/drawing/2010/main" val="0"/>
              </a:ext>
            </a:extLst>
          </a:blip>
          <a:stretch>
            <a:fillRect/>
          </a:stretch>
        </xdr:blipFill>
        <xdr:spPr>
          <a:xfrm>
            <a:off x="517256" y="29673795"/>
            <a:ext cx="355876" cy="360000"/>
          </a:xfrm>
          <a:prstGeom prst="rect">
            <a:avLst/>
          </a:prstGeom>
        </xdr:spPr>
      </xdr:pic>
    </xdr:grpSp>
    <xdr:clientData/>
  </xdr:twoCellAnchor>
  <xdr:twoCellAnchor editAs="oneCell">
    <xdr:from>
      <xdr:col>26</xdr:col>
      <xdr:colOff>0</xdr:colOff>
      <xdr:row>226</xdr:row>
      <xdr:rowOff>0</xdr:rowOff>
    </xdr:from>
    <xdr:to>
      <xdr:col>31</xdr:col>
      <xdr:colOff>302542</xdr:colOff>
      <xdr:row>528</xdr:row>
      <xdr:rowOff>163107</xdr:rowOff>
    </xdr:to>
    <xdr:pic>
      <xdr:nvPicPr>
        <xdr:cNvPr id="92" name="LogoESIt_Pre" hidden="1">
          <a:hlinkClick xmlns:r="http://schemas.openxmlformats.org/officeDocument/2006/relationships" r:id="rId91"/>
          <a:extLst>
            <a:ext uri="{FF2B5EF4-FFF2-40B4-BE49-F238E27FC236}">
              <a16:creationId xmlns:a16="http://schemas.microsoft.com/office/drawing/2014/main" id="{E9238955-1DB4-4C82-9880-3EFCC2EE09B0}"/>
            </a:ext>
          </a:extLst>
        </xdr:cNvPr>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13008429" y="40132000"/>
          <a:ext cx="1899113" cy="720000"/>
        </a:xfrm>
        <a:prstGeom prst="rect">
          <a:avLst/>
        </a:prstGeom>
      </xdr:spPr>
    </xdr:pic>
    <xdr:clientData/>
  </xdr:twoCellAnchor>
  <xdr:twoCellAnchor editAs="oneCell">
    <xdr:from>
      <xdr:col>26</xdr:col>
      <xdr:colOff>0</xdr:colOff>
      <xdr:row>52</xdr:row>
      <xdr:rowOff>0</xdr:rowOff>
    </xdr:from>
    <xdr:to>
      <xdr:col>31</xdr:col>
      <xdr:colOff>302542</xdr:colOff>
      <xdr:row>55</xdr:row>
      <xdr:rowOff>144059</xdr:rowOff>
    </xdr:to>
    <xdr:pic>
      <xdr:nvPicPr>
        <xdr:cNvPr id="46" name="LogoESIt_Pre-Kli" hidden="1">
          <a:hlinkClick xmlns:r="http://schemas.openxmlformats.org/officeDocument/2006/relationships" r:id="rId91"/>
          <a:extLst>
            <a:ext uri="{FF2B5EF4-FFF2-40B4-BE49-F238E27FC236}">
              <a16:creationId xmlns:a16="http://schemas.microsoft.com/office/drawing/2014/main" id="{0882076F-2783-4887-B121-D9277143EBE5}"/>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12991353" y="10630647"/>
          <a:ext cx="1901248" cy="723403"/>
        </a:xfrm>
        <a:prstGeom prst="rect">
          <a:avLst/>
        </a:prstGeom>
      </xdr:spPr>
    </xdr:pic>
    <xdr:clientData/>
  </xdr:twoCellAnchor>
  <xdr:oneCellAnchor>
    <xdr:from>
      <xdr:col>26</xdr:col>
      <xdr:colOff>0</xdr:colOff>
      <xdr:row>399</xdr:row>
      <xdr:rowOff>0</xdr:rowOff>
    </xdr:from>
    <xdr:ext cx="1936125" cy="720000"/>
    <xdr:pic>
      <xdr:nvPicPr>
        <xdr:cNvPr id="52" name="LogoESDe_Kli" hidden="1">
          <a:hlinkClick xmlns:r="http://schemas.openxmlformats.org/officeDocument/2006/relationships" r:id="rId91"/>
          <a:extLst>
            <a:ext uri="{FF2B5EF4-FFF2-40B4-BE49-F238E27FC236}">
              <a16:creationId xmlns:a16="http://schemas.microsoft.com/office/drawing/2014/main" id="{BB275C15-7F92-4131-A22B-B05E59B11795}"/>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13008429" y="69568786"/>
          <a:ext cx="1936125" cy="720000"/>
        </a:xfrm>
        <a:prstGeom prst="rect">
          <a:avLst/>
        </a:prstGeom>
      </xdr:spPr>
    </xdr:pic>
    <xdr:clientData/>
  </xdr:oneCellAnchor>
  <xdr:twoCellAnchor editAs="oneCell">
    <xdr:from>
      <xdr:col>26</xdr:col>
      <xdr:colOff>0</xdr:colOff>
      <xdr:row>399</xdr:row>
      <xdr:rowOff>0</xdr:rowOff>
    </xdr:from>
    <xdr:to>
      <xdr:col>31</xdr:col>
      <xdr:colOff>187572</xdr:colOff>
      <xdr:row>528</xdr:row>
      <xdr:rowOff>180141</xdr:rowOff>
    </xdr:to>
    <xdr:pic>
      <xdr:nvPicPr>
        <xdr:cNvPr id="102" name="LogoESFr_Kli" hidden="1">
          <a:hlinkClick xmlns:r="http://schemas.openxmlformats.org/officeDocument/2006/relationships" r:id="rId91"/>
          <a:extLst>
            <a:ext uri="{FF2B5EF4-FFF2-40B4-BE49-F238E27FC236}">
              <a16:creationId xmlns:a16="http://schemas.microsoft.com/office/drawing/2014/main" id="{CD3B8C21-1D7E-4ADF-A15E-6BE0383519C4}"/>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12991353" y="69969529"/>
          <a:ext cx="1786278" cy="728539"/>
        </a:xfrm>
        <a:prstGeom prst="rect">
          <a:avLst/>
        </a:prstGeom>
      </xdr:spPr>
    </xdr:pic>
    <xdr:clientData/>
  </xdr:twoCellAnchor>
  <xdr:twoCellAnchor editAs="oneCell">
    <xdr:from>
      <xdr:col>26</xdr:col>
      <xdr:colOff>0</xdr:colOff>
      <xdr:row>399</xdr:row>
      <xdr:rowOff>0</xdr:rowOff>
    </xdr:from>
    <xdr:to>
      <xdr:col>31</xdr:col>
      <xdr:colOff>302542</xdr:colOff>
      <xdr:row>528</xdr:row>
      <xdr:rowOff>180141</xdr:rowOff>
    </xdr:to>
    <xdr:pic>
      <xdr:nvPicPr>
        <xdr:cNvPr id="103" name="LogoESIt_Kli" hidden="1">
          <a:hlinkClick xmlns:r="http://schemas.openxmlformats.org/officeDocument/2006/relationships" r:id="rId91"/>
          <a:extLst>
            <a:ext uri="{FF2B5EF4-FFF2-40B4-BE49-F238E27FC236}">
              <a16:creationId xmlns:a16="http://schemas.microsoft.com/office/drawing/2014/main" id="{2A791607-0CDC-4AE1-95A3-DA13A7FB6D94}"/>
            </a:ext>
          </a:extLst>
        </xdr:cNvPr>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12991353" y="69969529"/>
          <a:ext cx="1901248" cy="728539"/>
        </a:xfrm>
        <a:prstGeom prst="rect">
          <a:avLst/>
        </a:prstGeom>
      </xdr:spPr>
    </xdr:pic>
    <xdr:clientData/>
  </xdr:twoCellAnchor>
  <xdr:twoCellAnchor editAs="oneCell">
    <xdr:from>
      <xdr:col>26</xdr:col>
      <xdr:colOff>0</xdr:colOff>
      <xdr:row>52</xdr:row>
      <xdr:rowOff>0</xdr:rowOff>
    </xdr:from>
    <xdr:to>
      <xdr:col>31</xdr:col>
      <xdr:colOff>187572</xdr:colOff>
      <xdr:row>55</xdr:row>
      <xdr:rowOff>144059</xdr:rowOff>
    </xdr:to>
    <xdr:pic>
      <xdr:nvPicPr>
        <xdr:cNvPr id="242" name="LogoESFr_Pre-Kli" hidden="1">
          <a:hlinkClick xmlns:r="http://schemas.openxmlformats.org/officeDocument/2006/relationships" r:id="rId91"/>
          <a:extLst>
            <a:ext uri="{FF2B5EF4-FFF2-40B4-BE49-F238E27FC236}">
              <a16:creationId xmlns:a16="http://schemas.microsoft.com/office/drawing/2014/main" id="{3BEDF639-440B-465C-8DBC-8FB89204EDE5}"/>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12991353" y="10630647"/>
          <a:ext cx="1786278" cy="723403"/>
        </a:xfrm>
        <a:prstGeom prst="rect">
          <a:avLst/>
        </a:prstGeom>
      </xdr:spPr>
    </xdr:pic>
    <xdr:clientData/>
  </xdr:twoCellAnchor>
  <xdr:twoCellAnchor editAs="oneCell">
    <xdr:from>
      <xdr:col>26</xdr:col>
      <xdr:colOff>0</xdr:colOff>
      <xdr:row>226</xdr:row>
      <xdr:rowOff>0</xdr:rowOff>
    </xdr:from>
    <xdr:to>
      <xdr:col>31</xdr:col>
      <xdr:colOff>187572</xdr:colOff>
      <xdr:row>528</xdr:row>
      <xdr:rowOff>163107</xdr:rowOff>
    </xdr:to>
    <xdr:pic>
      <xdr:nvPicPr>
        <xdr:cNvPr id="256" name="LogoESFr_Pre" hidden="1">
          <a:hlinkClick xmlns:r="http://schemas.openxmlformats.org/officeDocument/2006/relationships" r:id="rId91"/>
          <a:extLst>
            <a:ext uri="{FF2B5EF4-FFF2-40B4-BE49-F238E27FC236}">
              <a16:creationId xmlns:a16="http://schemas.microsoft.com/office/drawing/2014/main" id="{AAAB3F49-F124-4AD4-BAC2-C12927CB270E}"/>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12991353" y="40356118"/>
          <a:ext cx="1786278" cy="723401"/>
        </a:xfrm>
        <a:prstGeom prst="rect">
          <a:avLst/>
        </a:prstGeom>
      </xdr:spPr>
    </xdr:pic>
    <xdr:clientData/>
  </xdr:twoCellAnchor>
  <xdr:twoCellAnchor editAs="oneCell">
    <xdr:from>
      <xdr:col>26</xdr:col>
      <xdr:colOff>0</xdr:colOff>
      <xdr:row>226</xdr:row>
      <xdr:rowOff>0</xdr:rowOff>
    </xdr:from>
    <xdr:to>
      <xdr:col>31</xdr:col>
      <xdr:colOff>319153</xdr:colOff>
      <xdr:row>528</xdr:row>
      <xdr:rowOff>159706</xdr:rowOff>
    </xdr:to>
    <xdr:pic>
      <xdr:nvPicPr>
        <xdr:cNvPr id="267" name="LogoESDe_Pre1" hidden="1">
          <a:hlinkClick xmlns:r="http://schemas.openxmlformats.org/officeDocument/2006/relationships" r:id="rId91"/>
          <a:extLst>
            <a:ext uri="{FF2B5EF4-FFF2-40B4-BE49-F238E27FC236}">
              <a16:creationId xmlns:a16="http://schemas.microsoft.com/office/drawing/2014/main" id="{E5EC8B5C-9D83-4210-8F86-1DE0FAF4EFB3}"/>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12991353" y="40356118"/>
          <a:ext cx="1917859" cy="720000"/>
        </a:xfrm>
        <a:prstGeom prst="rect">
          <a:avLst/>
        </a:prstGeom>
      </xdr:spPr>
    </xdr:pic>
    <xdr:clientData/>
  </xdr:twoCellAnchor>
  <xdr:twoCellAnchor editAs="oneCell">
    <xdr:from>
      <xdr:col>26</xdr:col>
      <xdr:colOff>0</xdr:colOff>
      <xdr:row>52</xdr:row>
      <xdr:rowOff>0</xdr:rowOff>
    </xdr:from>
    <xdr:to>
      <xdr:col>31</xdr:col>
      <xdr:colOff>321288</xdr:colOff>
      <xdr:row>55</xdr:row>
      <xdr:rowOff>144059</xdr:rowOff>
    </xdr:to>
    <xdr:pic>
      <xdr:nvPicPr>
        <xdr:cNvPr id="269" name="LogoESDe_Pre-Kli">
          <a:hlinkClick xmlns:r="http://schemas.openxmlformats.org/officeDocument/2006/relationships" r:id="rId91"/>
          <a:extLst>
            <a:ext uri="{FF2B5EF4-FFF2-40B4-BE49-F238E27FC236}">
              <a16:creationId xmlns:a16="http://schemas.microsoft.com/office/drawing/2014/main" id="{E33FC316-B02D-4D18-B0A8-0C9199A61E26}"/>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12991353" y="10630647"/>
          <a:ext cx="1919994" cy="723403"/>
        </a:xfrm>
        <a:prstGeom prst="rect">
          <a:avLst/>
        </a:prstGeom>
      </xdr:spPr>
    </xdr:pic>
    <xdr:clientData/>
  </xdr:twoCellAnchor>
  <xdr:oneCellAnchor>
    <xdr:from>
      <xdr:col>17</xdr:col>
      <xdr:colOff>1208315</xdr:colOff>
      <xdr:row>181</xdr:row>
      <xdr:rowOff>21771</xdr:rowOff>
    </xdr:from>
    <xdr:ext cx="5172529" cy="851879"/>
    <xdr:pic>
      <xdr:nvPicPr>
        <xdr:cNvPr id="5" name="LogoFrPK" hidden="1">
          <a:extLst>
            <a:ext uri="{FF2B5EF4-FFF2-40B4-BE49-F238E27FC236}">
              <a16:creationId xmlns:a16="http://schemas.microsoft.com/office/drawing/2014/main" id="{BC809E98-E152-4594-8DE3-8F5010698F09}"/>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429448" y="766838"/>
          <a:ext cx="5172529" cy="851879"/>
        </a:xfrm>
        <a:prstGeom prst="rect">
          <a:avLst/>
        </a:prstGeom>
      </xdr:spPr>
    </xdr:pic>
    <xdr:clientData/>
  </xdr:oneCellAnchor>
  <xdr:oneCellAnchor>
    <xdr:from>
      <xdr:col>17</xdr:col>
      <xdr:colOff>1211580</xdr:colOff>
      <xdr:row>181</xdr:row>
      <xdr:rowOff>22860</xdr:rowOff>
    </xdr:from>
    <xdr:ext cx="2048527" cy="808093"/>
    <xdr:pic>
      <xdr:nvPicPr>
        <xdr:cNvPr id="6" name="LogoFr" hidden="1">
          <a:extLst>
            <a:ext uri="{FF2B5EF4-FFF2-40B4-BE49-F238E27FC236}">
              <a16:creationId xmlns:a16="http://schemas.microsoft.com/office/drawing/2014/main" id="{D90FD94D-D961-4743-814E-8D152244C303}"/>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432713" y="767927"/>
          <a:ext cx="2048527" cy="808093"/>
        </a:xfrm>
        <a:prstGeom prst="rect">
          <a:avLst/>
        </a:prstGeom>
      </xdr:spPr>
    </xdr:pic>
    <xdr:clientData/>
  </xdr:oneCellAnchor>
  <xdr:oneCellAnchor>
    <xdr:from>
      <xdr:col>17</xdr:col>
      <xdr:colOff>1220235</xdr:colOff>
      <xdr:row>181</xdr:row>
      <xdr:rowOff>24762</xdr:rowOff>
    </xdr:from>
    <xdr:ext cx="4321198" cy="798047"/>
    <xdr:pic>
      <xdr:nvPicPr>
        <xdr:cNvPr id="9" name="LogoDePK" hidden="1">
          <a:extLst>
            <a:ext uri="{FF2B5EF4-FFF2-40B4-BE49-F238E27FC236}">
              <a16:creationId xmlns:a16="http://schemas.microsoft.com/office/drawing/2014/main" id="{8F4799C7-F397-476B-B13D-41B3B0D51ADC}"/>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441368" y="769829"/>
          <a:ext cx="4321198" cy="798047"/>
        </a:xfrm>
        <a:prstGeom prst="rect">
          <a:avLst/>
        </a:prstGeom>
      </xdr:spPr>
    </xdr:pic>
    <xdr:clientData/>
  </xdr:oneCellAnchor>
  <xdr:oneCellAnchor>
    <xdr:from>
      <xdr:col>17</xdr:col>
      <xdr:colOff>1219200</xdr:colOff>
      <xdr:row>181</xdr:row>
      <xdr:rowOff>22860</xdr:rowOff>
    </xdr:from>
    <xdr:ext cx="2030312" cy="808093"/>
    <xdr:pic>
      <xdr:nvPicPr>
        <xdr:cNvPr id="10" name="LogoDe" hidden="1">
          <a:extLst>
            <a:ext uri="{FF2B5EF4-FFF2-40B4-BE49-F238E27FC236}">
              <a16:creationId xmlns:a16="http://schemas.microsoft.com/office/drawing/2014/main" id="{F0E18951-2E82-4BAC-B0F5-D85FAE57AFB7}"/>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440333" y="767927"/>
          <a:ext cx="2030312" cy="808093"/>
        </a:xfrm>
        <a:prstGeom prst="rect">
          <a:avLst/>
        </a:prstGeom>
      </xdr:spPr>
    </xdr:pic>
    <xdr:clientData/>
  </xdr:oneCellAnchor>
  <xdr:oneCellAnchor>
    <xdr:from>
      <xdr:col>17</xdr:col>
      <xdr:colOff>1221924</xdr:colOff>
      <xdr:row>181</xdr:row>
      <xdr:rowOff>32657</xdr:rowOff>
    </xdr:from>
    <xdr:ext cx="2130274" cy="790847"/>
    <xdr:pic>
      <xdr:nvPicPr>
        <xdr:cNvPr id="16" name="LogoDeK" hidden="1">
          <a:extLst>
            <a:ext uri="{FF2B5EF4-FFF2-40B4-BE49-F238E27FC236}">
              <a16:creationId xmlns:a16="http://schemas.microsoft.com/office/drawing/2014/main" id="{167030D4-0EE2-4B0B-9B4A-8632BB355D2B}"/>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443057" y="777724"/>
          <a:ext cx="2130274" cy="790847"/>
        </a:xfrm>
        <a:prstGeom prst="rect">
          <a:avLst/>
        </a:prstGeom>
      </xdr:spPr>
    </xdr:pic>
    <xdr:clientData/>
  </xdr:oneCellAnchor>
  <xdr:oneCellAnchor>
    <xdr:from>
      <xdr:col>17</xdr:col>
      <xdr:colOff>1208315</xdr:colOff>
      <xdr:row>353</xdr:row>
      <xdr:rowOff>21771</xdr:rowOff>
    </xdr:from>
    <xdr:ext cx="5172529" cy="851879"/>
    <xdr:pic>
      <xdr:nvPicPr>
        <xdr:cNvPr id="21" name="LogoFrPK" hidden="1">
          <a:extLst>
            <a:ext uri="{FF2B5EF4-FFF2-40B4-BE49-F238E27FC236}">
              <a16:creationId xmlns:a16="http://schemas.microsoft.com/office/drawing/2014/main" id="{8169A291-6693-4ACC-9D3A-DB15E461CFB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429448" y="766838"/>
          <a:ext cx="5172529" cy="851879"/>
        </a:xfrm>
        <a:prstGeom prst="rect">
          <a:avLst/>
        </a:prstGeom>
      </xdr:spPr>
    </xdr:pic>
    <xdr:clientData/>
  </xdr:oneCellAnchor>
  <xdr:oneCellAnchor>
    <xdr:from>
      <xdr:col>17</xdr:col>
      <xdr:colOff>1211580</xdr:colOff>
      <xdr:row>353</xdr:row>
      <xdr:rowOff>22860</xdr:rowOff>
    </xdr:from>
    <xdr:ext cx="2048527" cy="808093"/>
    <xdr:pic>
      <xdr:nvPicPr>
        <xdr:cNvPr id="31" name="LogoFr" hidden="1">
          <a:extLst>
            <a:ext uri="{FF2B5EF4-FFF2-40B4-BE49-F238E27FC236}">
              <a16:creationId xmlns:a16="http://schemas.microsoft.com/office/drawing/2014/main" id="{E9244B7A-05A0-4A2D-A359-8692A2623EF7}"/>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432713" y="767927"/>
          <a:ext cx="2048527" cy="808093"/>
        </a:xfrm>
        <a:prstGeom prst="rect">
          <a:avLst/>
        </a:prstGeom>
      </xdr:spPr>
    </xdr:pic>
    <xdr:clientData/>
  </xdr:oneCellAnchor>
  <xdr:oneCellAnchor>
    <xdr:from>
      <xdr:col>17</xdr:col>
      <xdr:colOff>1220235</xdr:colOff>
      <xdr:row>353</xdr:row>
      <xdr:rowOff>24762</xdr:rowOff>
    </xdr:from>
    <xdr:ext cx="4321198" cy="798047"/>
    <xdr:pic>
      <xdr:nvPicPr>
        <xdr:cNvPr id="32" name="LogoDePK" hidden="1">
          <a:extLst>
            <a:ext uri="{FF2B5EF4-FFF2-40B4-BE49-F238E27FC236}">
              <a16:creationId xmlns:a16="http://schemas.microsoft.com/office/drawing/2014/main" id="{86560373-EB94-43DA-B6BA-1055558BAF8F}"/>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441368" y="769829"/>
          <a:ext cx="4321198" cy="798047"/>
        </a:xfrm>
        <a:prstGeom prst="rect">
          <a:avLst/>
        </a:prstGeom>
      </xdr:spPr>
    </xdr:pic>
    <xdr:clientData/>
  </xdr:oneCellAnchor>
  <xdr:oneCellAnchor>
    <xdr:from>
      <xdr:col>17</xdr:col>
      <xdr:colOff>1219200</xdr:colOff>
      <xdr:row>353</xdr:row>
      <xdr:rowOff>22860</xdr:rowOff>
    </xdr:from>
    <xdr:ext cx="2030312" cy="808093"/>
    <xdr:pic>
      <xdr:nvPicPr>
        <xdr:cNvPr id="33" name="LogoDe" hidden="1">
          <a:extLst>
            <a:ext uri="{FF2B5EF4-FFF2-40B4-BE49-F238E27FC236}">
              <a16:creationId xmlns:a16="http://schemas.microsoft.com/office/drawing/2014/main" id="{AD98FE5F-70E8-4344-84A0-5F425F7D094F}"/>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440333" y="767927"/>
          <a:ext cx="2030312" cy="808093"/>
        </a:xfrm>
        <a:prstGeom prst="rect">
          <a:avLst/>
        </a:prstGeom>
      </xdr:spPr>
    </xdr:pic>
    <xdr:clientData/>
  </xdr:oneCellAnchor>
  <xdr:oneCellAnchor>
    <xdr:from>
      <xdr:col>17</xdr:col>
      <xdr:colOff>1221924</xdr:colOff>
      <xdr:row>353</xdr:row>
      <xdr:rowOff>32657</xdr:rowOff>
    </xdr:from>
    <xdr:ext cx="2130274" cy="790847"/>
    <xdr:pic>
      <xdr:nvPicPr>
        <xdr:cNvPr id="44" name="LogoDeK" hidden="1">
          <a:extLst>
            <a:ext uri="{FF2B5EF4-FFF2-40B4-BE49-F238E27FC236}">
              <a16:creationId xmlns:a16="http://schemas.microsoft.com/office/drawing/2014/main" id="{B3C8D10D-FF64-42DF-85E7-EBCA356EB967}"/>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443057" y="777724"/>
          <a:ext cx="2130274" cy="790847"/>
        </a:xfrm>
        <a:prstGeom prst="rect">
          <a:avLst/>
        </a:prstGeom>
      </xdr:spPr>
    </xdr:pic>
    <xdr:clientData/>
  </xdr:oneCellAnchor>
  <xdr:twoCellAnchor>
    <xdr:from>
      <xdr:col>16</xdr:col>
      <xdr:colOff>6681</xdr:colOff>
      <xdr:row>477</xdr:row>
      <xdr:rowOff>9295</xdr:rowOff>
    </xdr:from>
    <xdr:to>
      <xdr:col>17</xdr:col>
      <xdr:colOff>1185066</xdr:colOff>
      <xdr:row>485</xdr:row>
      <xdr:rowOff>1337</xdr:rowOff>
    </xdr:to>
    <xdr:graphicFrame macro="">
      <xdr:nvGraphicFramePr>
        <xdr:cNvPr id="45" name="DiagrammGesellschaft_Klima">
          <a:extLst>
            <a:ext uri="{FF2B5EF4-FFF2-40B4-BE49-F238E27FC236}">
              <a16:creationId xmlns:a16="http://schemas.microsoft.com/office/drawing/2014/main" id="{F178AB16-2C80-B196-64E1-5B35A7D6A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0.40085</cdr:x>
      <cdr:y>0.20454</cdr:y>
    </cdr:from>
    <cdr:to>
      <cdr:x>0.5033</cdr:x>
      <cdr:y>0.43747</cdr:y>
    </cdr:to>
    <cdr:sp macro="" textlink="">
      <cdr:nvSpPr>
        <cdr:cNvPr id="15" name="Textfeld 14">
          <a:extLst xmlns:a="http://schemas.openxmlformats.org/drawingml/2006/main">
            <a:ext uri="{FF2B5EF4-FFF2-40B4-BE49-F238E27FC236}">
              <a16:creationId xmlns:a16="http://schemas.microsoft.com/office/drawing/2014/main" id="{7FF5DB5F-E3F7-543E-B6E6-C723BEFDA98A}"/>
            </a:ext>
          </a:extLst>
        </cdr:cNvPr>
        <cdr:cNvSpPr txBox="1"/>
      </cdr:nvSpPr>
      <cdr:spPr>
        <a:xfrm xmlns:a="http://schemas.openxmlformats.org/drawingml/2006/main">
          <a:off x="2186277" y="1020411"/>
          <a:ext cx="558800" cy="11620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800" b="1" i="1"/>
            <a:t>100%</a:t>
          </a:r>
        </a:p>
      </cdr:txBody>
    </cdr:sp>
  </cdr:relSizeAnchor>
  <cdr:relSizeAnchor xmlns:cdr="http://schemas.openxmlformats.org/drawingml/2006/chartDrawing">
    <cdr:from>
      <cdr:x>0.3525</cdr:x>
      <cdr:y>0.06532</cdr:y>
    </cdr:from>
    <cdr:to>
      <cdr:x>0.66409</cdr:x>
      <cdr:y>0.16581</cdr:y>
    </cdr:to>
    <cdr:sp macro="" textlink="Text!$BA$38">
      <cdr:nvSpPr>
        <cdr:cNvPr id="2" name="Textfeld 1"/>
        <cdr:cNvSpPr txBox="1">
          <a:spLocks xmlns:a="http://schemas.openxmlformats.org/drawingml/2006/main"/>
        </cdr:cNvSpPr>
      </cdr:nvSpPr>
      <cdr:spPr>
        <a:xfrm xmlns:a="http://schemas.openxmlformats.org/drawingml/2006/main">
          <a:off x="1922326" y="328431"/>
          <a:ext cx="1699221" cy="50530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DAFDE67F-F819-4B1D-95B6-E544EFAB0BE2}" type="TxLink">
            <a:rPr lang="en-US" sz="600" b="1" i="0" u="none" strike="noStrike">
              <a:solidFill>
                <a:srgbClr val="E30613"/>
              </a:solidFill>
              <a:latin typeface="Calibri"/>
              <a:ea typeface="Verdana" panose="020B0604030504040204" pitchFamily="34" charset="0"/>
              <a:cs typeface="Calibri"/>
            </a:rPr>
            <a:pPr algn="ctr"/>
            <a:t>QUALITÄT DER ENTWICKLUNG</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0.4908</cdr:x>
      <cdr:y>0.11122</cdr:y>
    </cdr:from>
    <cdr:to>
      <cdr:x>0.80133</cdr:x>
      <cdr:y>0.21326</cdr:y>
    </cdr:to>
    <cdr:sp macro="" textlink="Text!$BA$39">
      <cdr:nvSpPr>
        <cdr:cNvPr id="3" name="Textfeld 2"/>
        <cdr:cNvSpPr txBox="1">
          <a:spLocks xmlns:a="http://schemas.openxmlformats.org/drawingml/2006/main"/>
        </cdr:cNvSpPr>
      </cdr:nvSpPr>
      <cdr:spPr>
        <a:xfrm xmlns:a="http://schemas.openxmlformats.org/drawingml/2006/main">
          <a:off x="2676525" y="559246"/>
          <a:ext cx="1693441" cy="513096"/>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CF8FD3-1B5F-4795-A852-60E7D21A6150}" type="TxLink">
            <a:rPr lang="en-US" sz="600" b="1" i="0" u="none" strike="noStrike">
              <a:solidFill>
                <a:srgbClr val="E30613"/>
              </a:solidFill>
              <a:latin typeface="Calibri"/>
              <a:ea typeface="Verdana" panose="020B0604030504040204" pitchFamily="34" charset="0"/>
              <a:cs typeface="Calibri"/>
            </a:rPr>
            <a:pPr algn="ctr"/>
            <a:t>ANGEBOT &amp; ERREICHBARKEIT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0.66599</cdr:x>
      <cdr:y>0.2807</cdr:y>
    </cdr:from>
    <cdr:to>
      <cdr:x>0.91231</cdr:x>
      <cdr:y>0.37867</cdr:y>
    </cdr:to>
    <cdr:sp macro="" textlink="Text!$BA$40">
      <cdr:nvSpPr>
        <cdr:cNvPr id="4" name="Textfeld 3"/>
        <cdr:cNvSpPr txBox="1">
          <a:spLocks xmlns:a="http://schemas.openxmlformats.org/drawingml/2006/main"/>
        </cdr:cNvSpPr>
      </cdr:nvSpPr>
      <cdr:spPr>
        <a:xfrm xmlns:a="http://schemas.openxmlformats.org/drawingml/2006/main">
          <a:off x="3631914" y="1411465"/>
          <a:ext cx="1343269" cy="492630"/>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A42C113-E41D-4C54-ABF2-B107075DFF41}" type="TxLink">
            <a:rPr lang="en-US" sz="600" b="1" i="0" u="none" strike="noStrike" baseline="0">
              <a:solidFill>
                <a:srgbClr val="E30613"/>
              </a:solidFill>
              <a:latin typeface="Calibri"/>
              <a:ea typeface="Verdana" panose="020B0604030504040204" pitchFamily="34" charset="0"/>
              <a:cs typeface="Calibri"/>
            </a:rPr>
            <a:pPr algn="ctr"/>
            <a:t>GEBRAUCHSQUALITÄT</a:t>
          </a:fld>
          <a:endParaRPr lang="de-CH" sz="600" b="1" baseline="0">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0.74804</cdr:x>
      <cdr:y>0.45498</cdr:y>
    </cdr:from>
    <cdr:to>
      <cdr:x>0.90515</cdr:x>
      <cdr:y>0.5519</cdr:y>
    </cdr:to>
    <cdr:sp macro="" textlink="Text!$BA$41">
      <cdr:nvSpPr>
        <cdr:cNvPr id="5" name="Textfeld 4"/>
        <cdr:cNvSpPr txBox="1">
          <a:spLocks xmlns:a="http://schemas.openxmlformats.org/drawingml/2006/main"/>
        </cdr:cNvSpPr>
      </cdr:nvSpPr>
      <cdr:spPr>
        <a:xfrm xmlns:a="http://schemas.openxmlformats.org/drawingml/2006/main">
          <a:off x="4079360" y="2287788"/>
          <a:ext cx="856747" cy="48735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25541890-0B57-48C1-A19C-98463FD8FE66}" type="TxLink">
            <a:rPr lang="en-US" sz="600" b="1" i="0" u="none" strike="noStrike">
              <a:solidFill>
                <a:srgbClr val="E30613"/>
              </a:solidFill>
              <a:latin typeface="Calibri"/>
              <a:ea typeface="Verdana" panose="020B0604030504040204" pitchFamily="34" charset="0"/>
              <a:cs typeface="Calibri"/>
            </a:rPr>
            <a:pPr algn="ctr"/>
            <a:t>WOHLBEFINDEN &amp; GESUNDHEIT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0.63829</cdr:x>
      <cdr:y>0.82061</cdr:y>
    </cdr:from>
    <cdr:to>
      <cdr:x>0.83794</cdr:x>
      <cdr:y>0.91616</cdr:y>
    </cdr:to>
    <cdr:sp macro="" textlink="Text!$BA$42">
      <cdr:nvSpPr>
        <cdr:cNvPr id="6" name="Textfeld 5"/>
        <cdr:cNvSpPr txBox="1">
          <a:spLocks xmlns:a="http://schemas.openxmlformats.org/drawingml/2006/main"/>
        </cdr:cNvSpPr>
      </cdr:nvSpPr>
      <cdr:spPr>
        <a:xfrm xmlns:a="http://schemas.openxmlformats.org/drawingml/2006/main">
          <a:off x="3480820" y="4126353"/>
          <a:ext cx="1088768" cy="48046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07AD34A0-6AF1-4118-85EF-63ACEB3E5EB5}" type="TxLink">
            <a:rPr lang="en-US" sz="600" b="1" i="0" u="none" strike="noStrike">
              <a:solidFill>
                <a:srgbClr val="5DC4E1"/>
              </a:solidFill>
              <a:latin typeface="Calibri"/>
              <a:ea typeface="Verdana" panose="020B0604030504040204" pitchFamily="34" charset="0"/>
              <a:cs typeface="Calibri"/>
            </a:rPr>
            <a:pPr algn="ctr"/>
            <a:t>LEBENSZYKLUS</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0.45022</cdr:x>
      <cdr:y>0.91464</cdr:y>
    </cdr:from>
    <cdr:to>
      <cdr:x>0.76125</cdr:x>
      <cdr:y>0.96163</cdr:y>
    </cdr:to>
    <cdr:sp macro="" textlink="Text!$BA$43">
      <cdr:nvSpPr>
        <cdr:cNvPr id="7" name="Textfeld 6"/>
        <cdr:cNvSpPr txBox="1">
          <a:spLocks xmlns:a="http://schemas.openxmlformats.org/drawingml/2006/main"/>
        </cdr:cNvSpPr>
      </cdr:nvSpPr>
      <cdr:spPr>
        <a:xfrm xmlns:a="http://schemas.openxmlformats.org/drawingml/2006/main">
          <a:off x="2269954" y="4637952"/>
          <a:ext cx="1568166" cy="238277"/>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D71CF61-7993-4C7D-A943-7E12511BFA5D}" type="TxLink">
            <a:rPr lang="en-US" sz="600" b="1" i="0" u="none" strike="noStrike">
              <a:solidFill>
                <a:srgbClr val="5DC4E1"/>
              </a:solidFill>
              <a:latin typeface="Calibri"/>
              <a:ea typeface="Verdana" panose="020B0604030504040204" pitchFamily="34" charset="0"/>
              <a:cs typeface="Calibri"/>
            </a:rPr>
            <a:pPr algn="ctr"/>
            <a:t>NUTZBARKEIT</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0.28367</cdr:x>
      <cdr:y>0.91627</cdr:y>
    </cdr:from>
    <cdr:to>
      <cdr:x>0.47746</cdr:x>
      <cdr:y>0.97393</cdr:y>
    </cdr:to>
    <cdr:sp macro="" textlink="Text!$BA$44">
      <cdr:nvSpPr>
        <cdr:cNvPr id="8" name="Textfeld 7"/>
        <cdr:cNvSpPr txBox="1">
          <a:spLocks xmlns:a="http://schemas.openxmlformats.org/drawingml/2006/main"/>
        </cdr:cNvSpPr>
      </cdr:nvSpPr>
      <cdr:spPr>
        <a:xfrm xmlns:a="http://schemas.openxmlformats.org/drawingml/2006/main">
          <a:off x="1430219" y="4646217"/>
          <a:ext cx="977060" cy="29238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AD7BA7F6-057F-474D-8EBF-1024155A4AF8}" type="TxLink">
            <a:rPr lang="en-US" sz="600" b="1" i="0" u="none" strike="noStrike">
              <a:solidFill>
                <a:srgbClr val="5DC4E1"/>
              </a:solidFill>
              <a:latin typeface="Calibri"/>
              <a:ea typeface="Verdana" panose="020B0604030504040204" pitchFamily="34" charset="0"/>
              <a:cs typeface="Calibri"/>
            </a:rPr>
            <a:pPr algn="ctr"/>
            <a:t>REGIONALÖKONOMIE</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0.10811</cdr:x>
      <cdr:y>0.47409</cdr:y>
    </cdr:from>
    <cdr:to>
      <cdr:x>0.25842</cdr:x>
      <cdr:y>0.5993</cdr:y>
    </cdr:to>
    <cdr:sp macro="" textlink="Text!$BA$47">
      <cdr:nvSpPr>
        <cdr:cNvPr id="11" name="Textfeld 10"/>
        <cdr:cNvSpPr txBox="1">
          <a:spLocks xmlns:a="http://schemas.openxmlformats.org/drawingml/2006/main"/>
        </cdr:cNvSpPr>
      </cdr:nvSpPr>
      <cdr:spPr>
        <a:xfrm xmlns:a="http://schemas.openxmlformats.org/drawingml/2006/main">
          <a:off x="589287" y="2365161"/>
          <a:ext cx="819349" cy="624650"/>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7D4034-A28A-4CB4-9F70-EEAB996E4B6C}" type="TxLink">
            <a:rPr lang="en-US" sz="600" b="1" i="0" u="none" strike="noStrike">
              <a:solidFill>
                <a:srgbClr val="76B729"/>
              </a:solidFill>
              <a:latin typeface="Calibri"/>
              <a:ea typeface="Verdana" panose="020B0604030504040204" pitchFamily="34" charset="0"/>
              <a:cs typeface="Calibri"/>
            </a:rPr>
            <a:pPr algn="ctr"/>
            <a:t>ENERGIE</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0.10592</cdr:x>
      <cdr:y>0.19875</cdr:y>
    </cdr:from>
    <cdr:to>
      <cdr:x>0.3136</cdr:x>
      <cdr:y>0.3223</cdr:y>
    </cdr:to>
    <cdr:sp macro="" textlink="Text!$BA$48">
      <cdr:nvSpPr>
        <cdr:cNvPr id="12" name="Textfeld 11"/>
        <cdr:cNvSpPr txBox="1">
          <a:spLocks xmlns:a="http://schemas.openxmlformats.org/drawingml/2006/main"/>
        </cdr:cNvSpPr>
      </cdr:nvSpPr>
      <cdr:spPr>
        <a:xfrm xmlns:a="http://schemas.openxmlformats.org/drawingml/2006/main">
          <a:off x="534033" y="1007831"/>
          <a:ext cx="1047091" cy="626496"/>
        </a:xfrm>
        <a:prstGeom xmlns:a="http://schemas.openxmlformats.org/drawingml/2006/main" prst="rect">
          <a:avLst/>
        </a:prstGeom>
      </cdr:spPr>
      <cdr:txBody>
        <a:bodyPr xmlns:a="http://schemas.openxmlformats.org/drawingml/2006/main" vertOverflow="overflow" horzOverflow="overflow" wrap="square" rtlCol="0" anchor="b">
          <a:noAutofit/>
        </a:bodyPr>
        <a:lstStyle xmlns:a="http://schemas.openxmlformats.org/drawingml/2006/main"/>
        <a:p xmlns:a="http://schemas.openxmlformats.org/drawingml/2006/main">
          <a:pPr algn="ctr"/>
          <a:fld id="{B1156D76-F399-43F9-9555-ECABFF9BA44E}" type="TxLink">
            <a:rPr lang="en-US" sz="600" b="1" i="0" u="none" strike="noStrike">
              <a:solidFill>
                <a:srgbClr val="76B729"/>
              </a:solidFill>
              <a:latin typeface="+mn-lt"/>
              <a:ea typeface="Verdana" panose="020B0604030504040204" pitchFamily="34" charset="0"/>
              <a:cs typeface="Calibri"/>
            </a:rPr>
            <a:pPr algn="ctr"/>
            <a:t>RESSOURCENSCHONUNG &amp; UMWELTSCHUTZ</a:t>
          </a:fld>
          <a:endParaRPr lang="de-CH" sz="600" b="1">
            <a:solidFill>
              <a:srgbClr val="76B729"/>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0.25282</cdr:x>
      <cdr:y>0.11157</cdr:y>
    </cdr:from>
    <cdr:to>
      <cdr:x>0.46047</cdr:x>
      <cdr:y>0.1979</cdr:y>
    </cdr:to>
    <cdr:sp macro="" textlink="Text!$BA$49">
      <cdr:nvSpPr>
        <cdr:cNvPr id="13" name="Textfeld 12"/>
        <cdr:cNvSpPr txBox="1">
          <a:spLocks xmlns:a="http://schemas.openxmlformats.org/drawingml/2006/main"/>
        </cdr:cNvSpPr>
      </cdr:nvSpPr>
      <cdr:spPr>
        <a:xfrm xmlns:a="http://schemas.openxmlformats.org/drawingml/2006/main">
          <a:off x="1378116" y="556613"/>
          <a:ext cx="1131899" cy="430669"/>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71D2E67E-6689-4CAC-BBE7-57D96BD9F3BB}" type="TxLink">
            <a:rPr lang="en-US" sz="600" b="1" i="0" u="none" strike="noStrike">
              <a:solidFill>
                <a:srgbClr val="76B729"/>
              </a:solidFill>
              <a:latin typeface="+mn-lt"/>
              <a:ea typeface="Verdana" panose="020B0604030504040204" pitchFamily="34" charset="0"/>
              <a:cs typeface="Arial" panose="020B0604020202020204" pitchFamily="34" charset="0"/>
            </a:rPr>
            <a:pPr algn="ctr"/>
            <a:t>NATUR &amp; LANDSCHAFT</a:t>
          </a:fld>
          <a:endParaRPr lang="de-CH" sz="600" b="1">
            <a:solidFill>
              <a:srgbClr val="76B729"/>
            </a:solidFill>
            <a:latin typeface="+mn-lt"/>
            <a:ea typeface="Verdana" panose="020B0604030504040204" pitchFamily="34" charset="0"/>
            <a:cs typeface="Arial" panose="020B0604020202020204" pitchFamily="34" charset="0"/>
          </a:endParaRPr>
        </a:p>
      </cdr:txBody>
    </cdr:sp>
  </cdr:relSizeAnchor>
  <cdr:relSizeAnchor xmlns:cdr="http://schemas.openxmlformats.org/drawingml/2006/chartDrawing">
    <cdr:from>
      <cdr:x>0.13471</cdr:x>
      <cdr:y>0.82313</cdr:y>
    </cdr:from>
    <cdr:to>
      <cdr:x>0.3301</cdr:x>
      <cdr:y>0.88463</cdr:y>
    </cdr:to>
    <cdr:sp macro="" textlink="Text!$BA$46">
      <cdr:nvSpPr>
        <cdr:cNvPr id="14" name="Textfeld 13"/>
        <cdr:cNvSpPr txBox="1">
          <a:spLocks xmlns:a="http://schemas.openxmlformats.org/drawingml/2006/main"/>
        </cdr:cNvSpPr>
      </cdr:nvSpPr>
      <cdr:spPr>
        <a:xfrm xmlns:a="http://schemas.openxmlformats.org/drawingml/2006/main">
          <a:off x="734647" y="4139032"/>
          <a:ext cx="1065536" cy="309215"/>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FD0EA82D-B2B7-4C41-A5AD-9995C0B309E2}" type="TxLink">
            <a:rPr lang="en-US" sz="600" b="1" i="0" u="none" strike="noStrike">
              <a:solidFill>
                <a:srgbClr val="76B729"/>
              </a:solidFill>
              <a:latin typeface="Calibri"/>
              <a:ea typeface="Verdana" panose="020B0604030504040204" pitchFamily="34" charset="0"/>
              <a:cs typeface="Calibri"/>
            </a:rPr>
            <a:pPr algn="ctr"/>
            <a:t>KLIMASCHUTZ</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0.30735</cdr:x>
      <cdr:y>0</cdr:y>
    </cdr:from>
    <cdr:to>
      <cdr:x>0.71663</cdr:x>
      <cdr:y>0.10049</cdr:y>
    </cdr:to>
    <cdr:sp macro="" textlink="Text!$C$312">
      <cdr:nvSpPr>
        <cdr:cNvPr id="30" name="Textfeld 1">
          <a:extLst xmlns:a="http://schemas.openxmlformats.org/drawingml/2006/main">
            <a:ext uri="{FF2B5EF4-FFF2-40B4-BE49-F238E27FC236}">
              <a16:creationId xmlns:a16="http://schemas.microsoft.com/office/drawing/2014/main" id="{9493B0A1-833B-FC06-964D-AE35FDE66E4F}"/>
            </a:ext>
          </a:extLst>
        </cdr:cNvPr>
        <cdr:cNvSpPr txBox="1">
          <a:spLocks xmlns:a="http://schemas.openxmlformats.org/drawingml/2006/main"/>
        </cdr:cNvSpPr>
      </cdr:nvSpPr>
      <cdr:spPr>
        <a:xfrm xmlns:a="http://schemas.openxmlformats.org/drawingml/2006/main">
          <a:off x="1677375" y="0"/>
          <a:ext cx="2233659" cy="505324"/>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F403B1F-9515-4801-9BD8-659A44643538}" type="TxLink">
            <a:rPr lang="en-US" sz="1100" b="1" i="0" u="none" strike="noStrike">
              <a:solidFill>
                <a:srgbClr val="000000"/>
              </a:solidFill>
              <a:latin typeface="Calibri"/>
              <a:ea typeface="Calibri"/>
              <a:cs typeface="Calibri"/>
            </a:rPr>
            <a:pPr algn="ctr"/>
            <a:t>Pre-Check SNBS 2023.1 Hochbau</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0.34096</cdr:x>
      <cdr:y>0.06016</cdr:y>
    </cdr:from>
    <cdr:to>
      <cdr:x>0.65255</cdr:x>
      <cdr:y>0.16065</cdr:y>
    </cdr:to>
    <cdr:sp macro="" textlink="Text!$BA$38">
      <cdr:nvSpPr>
        <cdr:cNvPr id="2" name="Textfeld 1"/>
        <cdr:cNvSpPr txBox="1">
          <a:spLocks xmlns:a="http://schemas.openxmlformats.org/drawingml/2006/main"/>
        </cdr:cNvSpPr>
      </cdr:nvSpPr>
      <cdr:spPr>
        <a:xfrm xmlns:a="http://schemas.openxmlformats.org/drawingml/2006/main">
          <a:off x="1848476" y="302503"/>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DAFDE67F-F819-4B1D-95B6-E544EFAB0BE2}" type="TxLink">
            <a:rPr lang="en-US" sz="600" b="1" i="0" u="none" strike="noStrike">
              <a:solidFill>
                <a:srgbClr val="E30613"/>
              </a:solidFill>
              <a:latin typeface="Calibri"/>
              <a:ea typeface="Verdana" panose="020B0604030504040204" pitchFamily="34" charset="0"/>
              <a:cs typeface="Calibri"/>
            </a:rPr>
            <a:pPr algn="ctr"/>
            <a:t>QUALITÄT DER ENTWICKLUNG</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0.54764</cdr:x>
      <cdr:y>0.13653</cdr:y>
    </cdr:from>
    <cdr:to>
      <cdr:x>0.85817</cdr:x>
      <cdr:y>0.23021</cdr:y>
    </cdr:to>
    <cdr:sp macro="" textlink="Text!$BA$39">
      <cdr:nvSpPr>
        <cdr:cNvPr id="3" name="Textfeld 2"/>
        <cdr:cNvSpPr txBox="1">
          <a:spLocks xmlns:a="http://schemas.openxmlformats.org/drawingml/2006/main"/>
        </cdr:cNvSpPr>
      </cdr:nvSpPr>
      <cdr:spPr>
        <a:xfrm xmlns:a="http://schemas.openxmlformats.org/drawingml/2006/main">
          <a:off x="2969022" y="686577"/>
          <a:ext cx="1683521" cy="471077"/>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CF8FD3-1B5F-4795-A852-60E7D21A6150}" type="TxLink">
            <a:rPr lang="en-US" sz="600" b="1" i="0" u="none" strike="noStrike">
              <a:solidFill>
                <a:srgbClr val="E30613"/>
              </a:solidFill>
              <a:latin typeface="Calibri"/>
              <a:ea typeface="Verdana" panose="020B0604030504040204" pitchFamily="34" charset="0"/>
              <a:cs typeface="Calibri"/>
            </a:rPr>
            <a:pPr algn="ctr"/>
            <a:t>ANGEBOT &amp; ERREICHBARKEIT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0.73413</cdr:x>
      <cdr:y>0.30366</cdr:y>
    </cdr:from>
    <cdr:to>
      <cdr:x>0.90463</cdr:x>
      <cdr:y>0.40163</cdr:y>
    </cdr:to>
    <cdr:sp macro="" textlink="Text!$BA$40">
      <cdr:nvSpPr>
        <cdr:cNvPr id="4" name="Textfeld 3"/>
        <cdr:cNvSpPr txBox="1">
          <a:spLocks xmlns:a="http://schemas.openxmlformats.org/drawingml/2006/main"/>
        </cdr:cNvSpPr>
      </cdr:nvSpPr>
      <cdr:spPr>
        <a:xfrm xmlns:a="http://schemas.openxmlformats.org/drawingml/2006/main">
          <a:off x="3980034" y="1526988"/>
          <a:ext cx="924356" cy="49265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A42C113-E41D-4C54-ABF2-B107075DFF41}" type="TxLink">
            <a:rPr lang="en-US" sz="600" b="1" i="0" u="none" strike="noStrike" baseline="0">
              <a:solidFill>
                <a:srgbClr val="E30613"/>
              </a:solidFill>
              <a:latin typeface="Calibri"/>
              <a:ea typeface="Verdana" panose="020B0604030504040204" pitchFamily="34" charset="0"/>
              <a:cs typeface="Calibri"/>
            </a:rPr>
            <a:pPr algn="ctr"/>
            <a:t>GEBRAUCHSQUALITÄT</a:t>
          </a:fld>
          <a:endParaRPr lang="de-CH" sz="600" b="1" baseline="0">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0.74908</cdr:x>
      <cdr:y>0.49803</cdr:y>
    </cdr:from>
    <cdr:to>
      <cdr:x>0.88999</cdr:x>
      <cdr:y>0.59495</cdr:y>
    </cdr:to>
    <cdr:sp macro="" textlink="Text!$BA$41">
      <cdr:nvSpPr>
        <cdr:cNvPr id="5" name="Textfeld 4"/>
        <cdr:cNvSpPr txBox="1">
          <a:spLocks xmlns:a="http://schemas.openxmlformats.org/drawingml/2006/main"/>
        </cdr:cNvSpPr>
      </cdr:nvSpPr>
      <cdr:spPr>
        <a:xfrm xmlns:a="http://schemas.openxmlformats.org/drawingml/2006/main">
          <a:off x="4061072" y="2504406"/>
          <a:ext cx="763936" cy="48737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25541890-0B57-48C1-A19C-98463FD8FE66}" type="TxLink">
            <a:rPr lang="en-US" sz="600" b="1" i="0" u="none" strike="noStrike">
              <a:solidFill>
                <a:srgbClr val="E30613"/>
              </a:solidFill>
              <a:latin typeface="Calibri"/>
              <a:ea typeface="Verdana" panose="020B0604030504040204" pitchFamily="34" charset="0"/>
              <a:cs typeface="Calibri"/>
            </a:rPr>
            <a:pPr algn="ctr"/>
            <a:t>WOHLBEFINDEN &amp; GESUNDHEIT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0.60875</cdr:x>
      <cdr:y>0.85111</cdr:y>
    </cdr:from>
    <cdr:to>
      <cdr:x>0.8084</cdr:x>
      <cdr:y>0.94666</cdr:y>
    </cdr:to>
    <cdr:sp macro="" textlink="Text!$BA$42">
      <cdr:nvSpPr>
        <cdr:cNvPr id="6" name="Textfeld 5"/>
        <cdr:cNvSpPr txBox="1">
          <a:spLocks xmlns:a="http://schemas.openxmlformats.org/drawingml/2006/main"/>
        </cdr:cNvSpPr>
      </cdr:nvSpPr>
      <cdr:spPr>
        <a:xfrm xmlns:a="http://schemas.openxmlformats.org/drawingml/2006/main">
          <a:off x="3300299" y="4279867"/>
          <a:ext cx="1082391" cy="480483"/>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07AD34A0-6AF1-4118-85EF-63ACEB3E5EB5}" type="TxLink">
            <a:rPr lang="en-US" sz="600" b="1" i="0" u="none" strike="noStrike">
              <a:solidFill>
                <a:srgbClr val="5DC4E1"/>
              </a:solidFill>
              <a:latin typeface="Calibri"/>
              <a:ea typeface="Verdana" panose="020B0604030504040204" pitchFamily="34" charset="0"/>
              <a:cs typeface="Calibri"/>
            </a:rPr>
            <a:pPr algn="ctr"/>
            <a:t>LEBENSZYKLUS</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0.35114</cdr:x>
      <cdr:y>0.9192</cdr:y>
    </cdr:from>
    <cdr:to>
      <cdr:x>0.66217</cdr:x>
      <cdr:y>0.96619</cdr:y>
    </cdr:to>
    <cdr:sp macro="" textlink="Text!$BA$43">
      <cdr:nvSpPr>
        <cdr:cNvPr id="7" name="Textfeld 6"/>
        <cdr:cNvSpPr txBox="1">
          <a:spLocks xmlns:a="http://schemas.openxmlformats.org/drawingml/2006/main"/>
        </cdr:cNvSpPr>
      </cdr:nvSpPr>
      <cdr:spPr>
        <a:xfrm xmlns:a="http://schemas.openxmlformats.org/drawingml/2006/main">
          <a:off x="1903700" y="4622271"/>
          <a:ext cx="1686232" cy="23629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D71CF61-7993-4C7D-A943-7E12511BFA5D}" type="TxLink">
            <a:rPr lang="en-US" sz="600" b="1" i="0" u="none" strike="noStrike">
              <a:solidFill>
                <a:srgbClr val="5DC4E1"/>
              </a:solidFill>
              <a:latin typeface="Calibri"/>
              <a:ea typeface="Verdana" panose="020B0604030504040204" pitchFamily="34" charset="0"/>
              <a:cs typeface="Calibri"/>
            </a:rPr>
            <a:pPr algn="ctr"/>
            <a:t>NUTZBARKEIT</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0.13475</cdr:x>
      <cdr:y>0.51938</cdr:y>
    </cdr:from>
    <cdr:to>
      <cdr:x>0.25975</cdr:x>
      <cdr:y>0.64459</cdr:y>
    </cdr:to>
    <cdr:sp macro="" textlink="Text!$BA$47">
      <cdr:nvSpPr>
        <cdr:cNvPr id="11" name="Textfeld 10"/>
        <cdr:cNvSpPr txBox="1">
          <a:spLocks xmlns:a="http://schemas.openxmlformats.org/drawingml/2006/main"/>
        </cdr:cNvSpPr>
      </cdr:nvSpPr>
      <cdr:spPr>
        <a:xfrm xmlns:a="http://schemas.openxmlformats.org/drawingml/2006/main">
          <a:off x="730543" y="2611763"/>
          <a:ext cx="677680" cy="62963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7D4034-A28A-4CB4-9F70-EEAB996E4B6C}" type="TxLink">
            <a:rPr lang="en-US" sz="600" b="1" i="0" u="none" strike="noStrike">
              <a:solidFill>
                <a:srgbClr val="76B729"/>
              </a:solidFill>
              <a:latin typeface="Calibri"/>
              <a:ea typeface="Verdana" panose="020B0604030504040204" pitchFamily="34" charset="0"/>
              <a:cs typeface="Calibri"/>
            </a:rPr>
            <a:pPr algn="ctr"/>
            <a:t>ENERGIE</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0.09248</cdr:x>
      <cdr:y>0.22483</cdr:y>
    </cdr:from>
    <cdr:to>
      <cdr:x>0.30016</cdr:x>
      <cdr:y>0.34838</cdr:y>
    </cdr:to>
    <cdr:sp macro="" textlink="Text!$BA$48">
      <cdr:nvSpPr>
        <cdr:cNvPr id="12" name="Textfeld 11"/>
        <cdr:cNvSpPr txBox="1">
          <a:spLocks xmlns:a="http://schemas.openxmlformats.org/drawingml/2006/main"/>
        </cdr:cNvSpPr>
      </cdr:nvSpPr>
      <cdr:spPr>
        <a:xfrm xmlns:a="http://schemas.openxmlformats.org/drawingml/2006/main">
          <a:off x="474790" y="1142590"/>
          <a:ext cx="1066224" cy="627893"/>
        </a:xfrm>
        <a:prstGeom xmlns:a="http://schemas.openxmlformats.org/drawingml/2006/main" prst="rect">
          <a:avLst/>
        </a:prstGeom>
      </cdr:spPr>
      <cdr:txBody>
        <a:bodyPr xmlns:a="http://schemas.openxmlformats.org/drawingml/2006/main" vertOverflow="overflow" horzOverflow="overflow" wrap="square" rtlCol="0" anchor="b">
          <a:noAutofit/>
        </a:bodyPr>
        <a:lstStyle xmlns:a="http://schemas.openxmlformats.org/drawingml/2006/main"/>
        <a:p xmlns:a="http://schemas.openxmlformats.org/drawingml/2006/main">
          <a:pPr algn="ctr"/>
          <a:fld id="{B1156D76-F399-43F9-9555-ECABFF9BA44E}" type="TxLink">
            <a:rPr lang="en-US" sz="600" b="1" i="0" u="none" strike="noStrike">
              <a:solidFill>
                <a:srgbClr val="76B729"/>
              </a:solidFill>
              <a:latin typeface="+mn-lt"/>
              <a:ea typeface="Verdana" panose="020B0604030504040204" pitchFamily="34" charset="0"/>
              <a:cs typeface="Calibri"/>
            </a:rPr>
            <a:pPr algn="ctr"/>
            <a:t>RESSOURCENSCHONUNG &amp; UMWELTSCHUTZ</a:t>
          </a:fld>
          <a:endParaRPr lang="de-CH" sz="600" b="1">
            <a:solidFill>
              <a:srgbClr val="76B729"/>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0.21073</cdr:x>
      <cdr:y>0.13859</cdr:y>
    </cdr:from>
    <cdr:to>
      <cdr:x>0.42004</cdr:x>
      <cdr:y>0.27039</cdr:y>
    </cdr:to>
    <cdr:sp macro="" textlink="Text!$BA$49">
      <cdr:nvSpPr>
        <cdr:cNvPr id="13" name="Textfeld 12"/>
        <cdr:cNvSpPr txBox="1">
          <a:spLocks xmlns:a="http://schemas.openxmlformats.org/drawingml/2006/main"/>
        </cdr:cNvSpPr>
      </cdr:nvSpPr>
      <cdr:spPr>
        <a:xfrm xmlns:a="http://schemas.openxmlformats.org/drawingml/2006/main">
          <a:off x="1134200" y="701232"/>
          <a:ext cx="1126498" cy="666860"/>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71D2E67E-6689-4CAC-BBE7-57D96BD9F3BB}" type="TxLink">
            <a:rPr lang="en-US" sz="600" b="1" i="0" u="none" strike="noStrike">
              <a:solidFill>
                <a:srgbClr val="76B729"/>
              </a:solidFill>
              <a:latin typeface="+mn-lt"/>
              <a:ea typeface="Verdana" panose="020B0604030504040204" pitchFamily="34" charset="0"/>
              <a:cs typeface="Arial" panose="020B0604020202020204" pitchFamily="34" charset="0"/>
            </a:rPr>
            <a:pPr algn="ctr"/>
            <a:t>NATUR &amp; LANDSCHAFT</a:t>
          </a:fld>
          <a:endParaRPr lang="de-CH" sz="600" b="1">
            <a:solidFill>
              <a:srgbClr val="76B729"/>
            </a:solidFill>
            <a:latin typeface="+mn-lt"/>
            <a:ea typeface="Verdana" panose="020B0604030504040204" pitchFamily="34" charset="0"/>
            <a:cs typeface="Arial" panose="020B0604020202020204" pitchFamily="34" charset="0"/>
          </a:endParaRPr>
        </a:p>
      </cdr:txBody>
    </cdr:sp>
  </cdr:relSizeAnchor>
  <cdr:relSizeAnchor xmlns:cdr="http://schemas.openxmlformats.org/drawingml/2006/chartDrawing">
    <cdr:from>
      <cdr:x>0.21769</cdr:x>
      <cdr:y>0.85932</cdr:y>
    </cdr:from>
    <cdr:to>
      <cdr:x>0.40043</cdr:x>
      <cdr:y>0.98453</cdr:y>
    </cdr:to>
    <cdr:sp macro="" textlink="Text!$BA$46">
      <cdr:nvSpPr>
        <cdr:cNvPr id="14" name="Textfeld 13"/>
        <cdr:cNvSpPr txBox="1">
          <a:spLocks xmlns:a="http://schemas.openxmlformats.org/drawingml/2006/main"/>
        </cdr:cNvSpPr>
      </cdr:nvSpPr>
      <cdr:spPr>
        <a:xfrm xmlns:a="http://schemas.openxmlformats.org/drawingml/2006/main">
          <a:off x="1177749" y="4321156"/>
          <a:ext cx="988695" cy="62963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FD0EA82D-B2B7-4C41-A5AD-9995C0B309E2}" type="TxLink">
            <a:rPr lang="en-US" sz="600" b="1" i="0" u="none" strike="noStrike">
              <a:solidFill>
                <a:srgbClr val="76B729"/>
              </a:solidFill>
              <a:latin typeface="Calibri"/>
              <a:ea typeface="Verdana" panose="020B0604030504040204" pitchFamily="34" charset="0"/>
              <a:cs typeface="Calibri"/>
            </a:rPr>
            <a:pPr algn="ctr"/>
            <a:t>KLIMASCHUTZ</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0.37666</cdr:x>
      <cdr:y>0.2151</cdr:y>
    </cdr:from>
    <cdr:to>
      <cdr:x>0.47992</cdr:x>
      <cdr:y>0.44802</cdr:y>
    </cdr:to>
    <cdr:sp macro="" textlink="">
      <cdr:nvSpPr>
        <cdr:cNvPr id="15" name="Textfeld 1">
          <a:extLst xmlns:a="http://schemas.openxmlformats.org/drawingml/2006/main">
            <a:ext uri="{FF2B5EF4-FFF2-40B4-BE49-F238E27FC236}">
              <a16:creationId xmlns:a16="http://schemas.microsoft.com/office/drawing/2014/main" id="{CA4F4DE0-2CCF-9390-CE61-24D4A0B5E728}"/>
            </a:ext>
          </a:extLst>
        </cdr:cNvPr>
        <cdr:cNvSpPr txBox="1"/>
      </cdr:nvSpPr>
      <cdr:spPr>
        <a:xfrm xmlns:a="http://schemas.openxmlformats.org/drawingml/2006/main">
          <a:off x="2038350" y="1073150"/>
          <a:ext cx="558800" cy="1162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800" b="1" i="1"/>
            <a:t>100%</a:t>
          </a:r>
        </a:p>
      </cdr:txBody>
    </cdr:sp>
  </cdr:relSizeAnchor>
  <cdr:relSizeAnchor xmlns:cdr="http://schemas.openxmlformats.org/drawingml/2006/chartDrawing">
    <cdr:from>
      <cdr:x>0.34546</cdr:x>
      <cdr:y>0.01353</cdr:y>
    </cdr:from>
    <cdr:to>
      <cdr:x>0.65705</cdr:x>
      <cdr:y>0.11402</cdr:y>
    </cdr:to>
    <cdr:sp macro="" textlink="Text!$BA$38">
      <cdr:nvSpPr>
        <cdr:cNvPr id="16" name="Textfeld 15">
          <a:extLst xmlns:a="http://schemas.openxmlformats.org/drawingml/2006/main">
            <a:ext uri="{FF2B5EF4-FFF2-40B4-BE49-F238E27FC236}">
              <a16:creationId xmlns:a16="http://schemas.microsoft.com/office/drawing/2014/main" id="{BB90CAA9-E246-D210-7830-79F6D96732DE}"/>
            </a:ext>
          </a:extLst>
        </cdr:cNvPr>
        <cdr:cNvSpPr txBox="1">
          <a:spLocks xmlns:a="http://schemas.openxmlformats.org/drawingml/2006/main"/>
        </cdr:cNvSpPr>
      </cdr:nvSpPr>
      <cdr:spPr>
        <a:xfrm xmlns:a="http://schemas.openxmlformats.org/drawingml/2006/main">
          <a:off x="1872899" y="6804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0.34276</cdr:x>
      <cdr:y>0.00285</cdr:y>
    </cdr:from>
    <cdr:to>
      <cdr:x>0.65435</cdr:x>
      <cdr:y>0.10334</cdr:y>
    </cdr:to>
    <cdr:sp macro="" textlink="Text!$C$403">
      <cdr:nvSpPr>
        <cdr:cNvPr id="17" name="Textfeld 16">
          <a:extLst xmlns:a="http://schemas.openxmlformats.org/drawingml/2006/main">
            <a:ext uri="{FF2B5EF4-FFF2-40B4-BE49-F238E27FC236}">
              <a16:creationId xmlns:a16="http://schemas.microsoft.com/office/drawing/2014/main" id="{45918009-DE66-C6D9-D651-D5632B895F40}"/>
            </a:ext>
          </a:extLst>
        </cdr:cNvPr>
        <cdr:cNvSpPr txBox="1">
          <a:spLocks xmlns:a="http://schemas.openxmlformats.org/drawingml/2006/main"/>
        </cdr:cNvSpPr>
      </cdr:nvSpPr>
      <cdr:spPr>
        <a:xfrm xmlns:a="http://schemas.openxmlformats.org/drawingml/2006/main">
          <a:off x="1858245" y="1431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5F3B0E78-D90D-4634-951F-67466B9D523B}" type="TxLink">
            <a:rPr lang="en-US" sz="1100" b="1" i="0" u="none" strike="noStrike">
              <a:solidFill>
                <a:srgbClr val="000000"/>
              </a:solidFill>
              <a:latin typeface="Calibri"/>
              <a:ea typeface="Calibri"/>
              <a:cs typeface="Calibri"/>
            </a:rPr>
            <a:pPr algn="ctr"/>
            <a:t>Klima-Check</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0.32649</cdr:x>
      <cdr:y>0.19892</cdr:y>
    </cdr:from>
    <cdr:to>
      <cdr:x>0.50316</cdr:x>
      <cdr:y>0.43184</cdr:y>
    </cdr:to>
    <cdr:sp macro="" textlink="">
      <cdr:nvSpPr>
        <cdr:cNvPr id="15" name="Textfeld 1">
          <a:extLst xmlns:a="http://schemas.openxmlformats.org/drawingml/2006/main">
            <a:ext uri="{FF2B5EF4-FFF2-40B4-BE49-F238E27FC236}">
              <a16:creationId xmlns:a16="http://schemas.microsoft.com/office/drawing/2014/main" id="{CA4F4DE0-2CCF-9390-CE61-24D4A0B5E728}"/>
            </a:ext>
          </a:extLst>
        </cdr:cNvPr>
        <cdr:cNvSpPr txBox="1"/>
      </cdr:nvSpPr>
      <cdr:spPr>
        <a:xfrm xmlns:a="http://schemas.openxmlformats.org/drawingml/2006/main">
          <a:off x="831198" y="454318"/>
          <a:ext cx="449777" cy="53197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650" b="1" i="1"/>
            <a:t>100%</a:t>
          </a:r>
        </a:p>
      </cdr:txBody>
    </cdr:sp>
  </cdr:relSizeAnchor>
  <cdr:relSizeAnchor xmlns:cdr="http://schemas.openxmlformats.org/drawingml/2006/chartDrawing">
    <cdr:from>
      <cdr:x>0.34546</cdr:x>
      <cdr:y>0.01353</cdr:y>
    </cdr:from>
    <cdr:to>
      <cdr:x>0.65705</cdr:x>
      <cdr:y>0.11402</cdr:y>
    </cdr:to>
    <cdr:sp macro="" textlink="Text!$BA$38">
      <cdr:nvSpPr>
        <cdr:cNvPr id="16" name="Textfeld 15">
          <a:extLst xmlns:a="http://schemas.openxmlformats.org/drawingml/2006/main">
            <a:ext uri="{FF2B5EF4-FFF2-40B4-BE49-F238E27FC236}">
              <a16:creationId xmlns:a16="http://schemas.microsoft.com/office/drawing/2014/main" id="{BB90CAA9-E246-D210-7830-79F6D96732DE}"/>
            </a:ext>
          </a:extLst>
        </cdr:cNvPr>
        <cdr:cNvSpPr txBox="1">
          <a:spLocks xmlns:a="http://schemas.openxmlformats.org/drawingml/2006/main"/>
        </cdr:cNvSpPr>
      </cdr:nvSpPr>
      <cdr:spPr>
        <a:xfrm xmlns:a="http://schemas.openxmlformats.org/drawingml/2006/main">
          <a:off x="1872899" y="6804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cdr:x>
      <cdr:y>0.00285</cdr:y>
    </cdr:from>
    <cdr:to>
      <cdr:x>1</cdr:x>
      <cdr:y>0.10141</cdr:y>
    </cdr:to>
    <cdr:sp macro="" textlink="Text!$C$591">
      <cdr:nvSpPr>
        <cdr:cNvPr id="8" name="Textfeld 7">
          <a:extLst xmlns:a="http://schemas.openxmlformats.org/drawingml/2006/main">
            <a:ext uri="{FF2B5EF4-FFF2-40B4-BE49-F238E27FC236}">
              <a16:creationId xmlns:a16="http://schemas.microsoft.com/office/drawing/2014/main" id="{5D0C2BEC-EFA1-681A-16D0-36608ADE78BD}"/>
            </a:ext>
          </a:extLst>
        </cdr:cNvPr>
        <cdr:cNvSpPr txBox="1">
          <a:spLocks xmlns:a="http://schemas.openxmlformats.org/drawingml/2006/main"/>
        </cdr:cNvSpPr>
      </cdr:nvSpPr>
      <cdr:spPr>
        <a:xfrm xmlns:a="http://schemas.openxmlformats.org/drawingml/2006/main">
          <a:off x="0" y="6622"/>
          <a:ext cx="2556000" cy="229006"/>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F0612FB9-6FEF-4ECD-9016-BA40BC40E667}" type="TxLink">
            <a:rPr lang="en-US" sz="1100" b="1" i="0" u="none" strike="noStrike">
              <a:solidFill>
                <a:srgbClr val="000000"/>
              </a:solidFill>
              <a:latin typeface="Calibri"/>
              <a:ea typeface="Calibri"/>
              <a:cs typeface="Calibri"/>
            </a:rPr>
            <a:pPr algn="ctr"/>
            <a:t>Klimaschutz</a:t>
          </a:fld>
          <a:endParaRPr lang="de-CH" sz="10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0.26924</cdr:x>
      <cdr:y>0.24955</cdr:y>
    </cdr:from>
    <cdr:to>
      <cdr:x>0.44591</cdr:x>
      <cdr:y>0.48247</cdr:y>
    </cdr:to>
    <cdr:sp macro="" textlink="">
      <cdr:nvSpPr>
        <cdr:cNvPr id="15" name="Textfeld 1">
          <a:extLst xmlns:a="http://schemas.openxmlformats.org/drawingml/2006/main">
            <a:ext uri="{FF2B5EF4-FFF2-40B4-BE49-F238E27FC236}">
              <a16:creationId xmlns:a16="http://schemas.microsoft.com/office/drawing/2014/main" id="{CA4F4DE0-2CCF-9390-CE61-24D4A0B5E728}"/>
            </a:ext>
          </a:extLst>
        </cdr:cNvPr>
        <cdr:cNvSpPr txBox="1"/>
      </cdr:nvSpPr>
      <cdr:spPr>
        <a:xfrm xmlns:a="http://schemas.openxmlformats.org/drawingml/2006/main">
          <a:off x="682621" y="584604"/>
          <a:ext cx="447920" cy="5456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650" b="1" i="1"/>
            <a:t>100%</a:t>
          </a:r>
        </a:p>
      </cdr:txBody>
    </cdr:sp>
  </cdr:relSizeAnchor>
  <cdr:relSizeAnchor xmlns:cdr="http://schemas.openxmlformats.org/drawingml/2006/chartDrawing">
    <cdr:from>
      <cdr:x>0.34546</cdr:x>
      <cdr:y>0.01353</cdr:y>
    </cdr:from>
    <cdr:to>
      <cdr:x>0.65705</cdr:x>
      <cdr:y>0.11402</cdr:y>
    </cdr:to>
    <cdr:sp macro="" textlink="Text!$BA$38">
      <cdr:nvSpPr>
        <cdr:cNvPr id="16" name="Textfeld 15">
          <a:extLst xmlns:a="http://schemas.openxmlformats.org/drawingml/2006/main">
            <a:ext uri="{FF2B5EF4-FFF2-40B4-BE49-F238E27FC236}">
              <a16:creationId xmlns:a16="http://schemas.microsoft.com/office/drawing/2014/main" id="{BB90CAA9-E246-D210-7830-79F6D96732DE}"/>
            </a:ext>
          </a:extLst>
        </cdr:cNvPr>
        <cdr:cNvSpPr txBox="1">
          <a:spLocks xmlns:a="http://schemas.openxmlformats.org/drawingml/2006/main"/>
        </cdr:cNvSpPr>
      </cdr:nvSpPr>
      <cdr:spPr>
        <a:xfrm xmlns:a="http://schemas.openxmlformats.org/drawingml/2006/main">
          <a:off x="1872899" y="6804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cdr:x>
      <cdr:y>0.00285</cdr:y>
    </cdr:from>
    <cdr:to>
      <cdr:x>1</cdr:x>
      <cdr:y>0.1805</cdr:y>
    </cdr:to>
    <cdr:sp macro="" textlink="Text!$C$592">
      <cdr:nvSpPr>
        <cdr:cNvPr id="17" name="Textfeld 16">
          <a:extLst xmlns:a="http://schemas.openxmlformats.org/drawingml/2006/main">
            <a:ext uri="{FF2B5EF4-FFF2-40B4-BE49-F238E27FC236}">
              <a16:creationId xmlns:a16="http://schemas.microsoft.com/office/drawing/2014/main" id="{45918009-DE66-C6D9-D651-D5632B895F40}"/>
            </a:ext>
          </a:extLst>
        </cdr:cNvPr>
        <cdr:cNvSpPr txBox="1">
          <a:spLocks xmlns:a="http://schemas.openxmlformats.org/drawingml/2006/main"/>
        </cdr:cNvSpPr>
      </cdr:nvSpPr>
      <cdr:spPr>
        <a:xfrm xmlns:a="http://schemas.openxmlformats.org/drawingml/2006/main">
          <a:off x="0" y="6798"/>
          <a:ext cx="2531221" cy="42378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96934947-0D00-4A3C-BB47-C3E95D73968B}" type="TxLink">
            <a:rPr lang="en-US" sz="1100" b="1" i="0" u="none" strike="noStrike">
              <a:solidFill>
                <a:srgbClr val="000000"/>
              </a:solidFill>
              <a:latin typeface="Calibri"/>
              <a:ea typeface="Calibri"/>
              <a:cs typeface="Calibri"/>
            </a:rPr>
            <a:pPr algn="ctr"/>
            <a:t>Klimaanpassung</a:t>
          </a:fld>
          <a:endParaRPr lang="de-CH" sz="11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0.40085</cdr:x>
      <cdr:y>0.20454</cdr:y>
    </cdr:from>
    <cdr:to>
      <cdr:x>0.5033</cdr:x>
      <cdr:y>0.43747</cdr:y>
    </cdr:to>
    <cdr:sp macro="" textlink="">
      <cdr:nvSpPr>
        <cdr:cNvPr id="15" name="Textfeld 14">
          <a:extLst xmlns:a="http://schemas.openxmlformats.org/drawingml/2006/main">
            <a:ext uri="{FF2B5EF4-FFF2-40B4-BE49-F238E27FC236}">
              <a16:creationId xmlns:a16="http://schemas.microsoft.com/office/drawing/2014/main" id="{7FF5DB5F-E3F7-543E-B6E6-C723BEFDA98A}"/>
            </a:ext>
          </a:extLst>
        </cdr:cNvPr>
        <cdr:cNvSpPr txBox="1"/>
      </cdr:nvSpPr>
      <cdr:spPr>
        <a:xfrm xmlns:a="http://schemas.openxmlformats.org/drawingml/2006/main">
          <a:off x="2186277" y="1020411"/>
          <a:ext cx="558800" cy="11620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800" b="1" i="1"/>
            <a:t>100%</a:t>
          </a:r>
        </a:p>
      </cdr:txBody>
    </cdr:sp>
  </cdr:relSizeAnchor>
  <cdr:relSizeAnchor xmlns:cdr="http://schemas.openxmlformats.org/drawingml/2006/chartDrawing">
    <cdr:from>
      <cdr:x>0.3525</cdr:x>
      <cdr:y>0.06532</cdr:y>
    </cdr:from>
    <cdr:to>
      <cdr:x>0.66409</cdr:x>
      <cdr:y>0.16581</cdr:y>
    </cdr:to>
    <cdr:sp macro="" textlink="Text!$BA$38">
      <cdr:nvSpPr>
        <cdr:cNvPr id="2" name="Textfeld 1"/>
        <cdr:cNvSpPr txBox="1">
          <a:spLocks xmlns:a="http://schemas.openxmlformats.org/drawingml/2006/main"/>
        </cdr:cNvSpPr>
      </cdr:nvSpPr>
      <cdr:spPr>
        <a:xfrm xmlns:a="http://schemas.openxmlformats.org/drawingml/2006/main">
          <a:off x="1922326" y="328431"/>
          <a:ext cx="1699221" cy="50530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DAFDE67F-F819-4B1D-95B6-E544EFAB0BE2}" type="TxLink">
            <a:rPr lang="en-US" sz="600" b="1" i="0" u="none" strike="noStrike">
              <a:solidFill>
                <a:srgbClr val="E30613"/>
              </a:solidFill>
              <a:latin typeface="Calibri"/>
              <a:ea typeface="Verdana" panose="020B0604030504040204" pitchFamily="34" charset="0"/>
              <a:cs typeface="Calibri"/>
            </a:rPr>
            <a:pPr algn="ctr"/>
            <a:t>QUALITÄT DER ENTWICKLUNG</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0.4908</cdr:x>
      <cdr:y>0.11122</cdr:y>
    </cdr:from>
    <cdr:to>
      <cdr:x>0.80133</cdr:x>
      <cdr:y>0.21326</cdr:y>
    </cdr:to>
    <cdr:sp macro="" textlink="Text!$BA$39">
      <cdr:nvSpPr>
        <cdr:cNvPr id="3" name="Textfeld 2"/>
        <cdr:cNvSpPr txBox="1">
          <a:spLocks xmlns:a="http://schemas.openxmlformats.org/drawingml/2006/main"/>
        </cdr:cNvSpPr>
      </cdr:nvSpPr>
      <cdr:spPr>
        <a:xfrm xmlns:a="http://schemas.openxmlformats.org/drawingml/2006/main">
          <a:off x="2676525" y="559246"/>
          <a:ext cx="1693441" cy="513096"/>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CF8FD3-1B5F-4795-A852-60E7D21A6150}" type="TxLink">
            <a:rPr lang="en-US" sz="600" b="1" i="0" u="none" strike="noStrike">
              <a:solidFill>
                <a:srgbClr val="E30613"/>
              </a:solidFill>
              <a:latin typeface="Calibri"/>
              <a:ea typeface="Verdana" panose="020B0604030504040204" pitchFamily="34" charset="0"/>
              <a:cs typeface="Calibri"/>
            </a:rPr>
            <a:pPr algn="ctr"/>
            <a:t>ANGEBOT &amp; ERREICHBARKEIT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0.66599</cdr:x>
      <cdr:y>0.2807</cdr:y>
    </cdr:from>
    <cdr:to>
      <cdr:x>0.91231</cdr:x>
      <cdr:y>0.37867</cdr:y>
    </cdr:to>
    <cdr:sp macro="" textlink="Text!$BA$40">
      <cdr:nvSpPr>
        <cdr:cNvPr id="4" name="Textfeld 3"/>
        <cdr:cNvSpPr txBox="1">
          <a:spLocks xmlns:a="http://schemas.openxmlformats.org/drawingml/2006/main"/>
        </cdr:cNvSpPr>
      </cdr:nvSpPr>
      <cdr:spPr>
        <a:xfrm xmlns:a="http://schemas.openxmlformats.org/drawingml/2006/main">
          <a:off x="3631914" y="1411465"/>
          <a:ext cx="1343269" cy="492630"/>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A42C113-E41D-4C54-ABF2-B107075DFF41}" type="TxLink">
            <a:rPr lang="en-US" sz="600" b="1" i="0" u="none" strike="noStrike" baseline="0">
              <a:solidFill>
                <a:srgbClr val="E30613"/>
              </a:solidFill>
              <a:latin typeface="Calibri"/>
              <a:ea typeface="Verdana" panose="020B0604030504040204" pitchFamily="34" charset="0"/>
              <a:cs typeface="Calibri"/>
            </a:rPr>
            <a:pPr algn="ctr"/>
            <a:t>GEBRAUCHSQUALITÄT</a:t>
          </a:fld>
          <a:endParaRPr lang="de-CH" sz="600" b="1" baseline="0">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0.74804</cdr:x>
      <cdr:y>0.45498</cdr:y>
    </cdr:from>
    <cdr:to>
      <cdr:x>0.90515</cdr:x>
      <cdr:y>0.5519</cdr:y>
    </cdr:to>
    <cdr:sp macro="" textlink="Text!$BA$41">
      <cdr:nvSpPr>
        <cdr:cNvPr id="5" name="Textfeld 4"/>
        <cdr:cNvSpPr txBox="1">
          <a:spLocks xmlns:a="http://schemas.openxmlformats.org/drawingml/2006/main"/>
        </cdr:cNvSpPr>
      </cdr:nvSpPr>
      <cdr:spPr>
        <a:xfrm xmlns:a="http://schemas.openxmlformats.org/drawingml/2006/main">
          <a:off x="4079360" y="2287788"/>
          <a:ext cx="856747" cy="48735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25541890-0B57-48C1-A19C-98463FD8FE66}" type="TxLink">
            <a:rPr lang="en-US" sz="600" b="1" i="0" u="none" strike="noStrike">
              <a:solidFill>
                <a:srgbClr val="E30613"/>
              </a:solidFill>
              <a:latin typeface="Calibri"/>
              <a:ea typeface="Verdana" panose="020B0604030504040204" pitchFamily="34" charset="0"/>
              <a:cs typeface="Calibri"/>
            </a:rPr>
            <a:pPr algn="ctr"/>
            <a:t>WOHLBEFINDEN &amp; GESUNDHEIT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0.63829</cdr:x>
      <cdr:y>0.82061</cdr:y>
    </cdr:from>
    <cdr:to>
      <cdr:x>0.83794</cdr:x>
      <cdr:y>0.91616</cdr:y>
    </cdr:to>
    <cdr:sp macro="" textlink="Text!$BA$42">
      <cdr:nvSpPr>
        <cdr:cNvPr id="6" name="Textfeld 5"/>
        <cdr:cNvSpPr txBox="1">
          <a:spLocks xmlns:a="http://schemas.openxmlformats.org/drawingml/2006/main"/>
        </cdr:cNvSpPr>
      </cdr:nvSpPr>
      <cdr:spPr>
        <a:xfrm xmlns:a="http://schemas.openxmlformats.org/drawingml/2006/main">
          <a:off x="3480820" y="4126353"/>
          <a:ext cx="1088768" cy="48046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07AD34A0-6AF1-4118-85EF-63ACEB3E5EB5}" type="TxLink">
            <a:rPr lang="en-US" sz="600" b="1" i="0" u="none" strike="noStrike">
              <a:solidFill>
                <a:srgbClr val="5DC4E1"/>
              </a:solidFill>
              <a:latin typeface="Calibri"/>
              <a:ea typeface="Verdana" panose="020B0604030504040204" pitchFamily="34" charset="0"/>
              <a:cs typeface="Calibri"/>
            </a:rPr>
            <a:pPr algn="ctr"/>
            <a:t>LEBENSZYKLUS</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0.46534</cdr:x>
      <cdr:y>0.91464</cdr:y>
    </cdr:from>
    <cdr:to>
      <cdr:x>0.77637</cdr:x>
      <cdr:y>0.96163</cdr:y>
    </cdr:to>
    <cdr:sp macro="" textlink="Text!$BA$43">
      <cdr:nvSpPr>
        <cdr:cNvPr id="7" name="Textfeld 6"/>
        <cdr:cNvSpPr txBox="1">
          <a:spLocks xmlns:a="http://schemas.openxmlformats.org/drawingml/2006/main"/>
        </cdr:cNvSpPr>
      </cdr:nvSpPr>
      <cdr:spPr>
        <a:xfrm xmlns:a="http://schemas.openxmlformats.org/drawingml/2006/main">
          <a:off x="2346154" y="4637952"/>
          <a:ext cx="1568166" cy="238277"/>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D71CF61-7993-4C7D-A943-7E12511BFA5D}" type="TxLink">
            <a:rPr lang="en-US" sz="600" b="1" i="0" u="none" strike="noStrike">
              <a:solidFill>
                <a:srgbClr val="5DC4E1"/>
              </a:solidFill>
              <a:latin typeface="Calibri"/>
              <a:ea typeface="Verdana" panose="020B0604030504040204" pitchFamily="34" charset="0"/>
              <a:cs typeface="Calibri"/>
            </a:rPr>
            <a:pPr algn="ctr"/>
            <a:t>NUTZBARKEIT</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0.28871</cdr:x>
      <cdr:y>0.91627</cdr:y>
    </cdr:from>
    <cdr:to>
      <cdr:x>0.4825</cdr:x>
      <cdr:y>0.97393</cdr:y>
    </cdr:to>
    <cdr:sp macro="" textlink="Text!$BA$44">
      <cdr:nvSpPr>
        <cdr:cNvPr id="8" name="Textfeld 7"/>
        <cdr:cNvSpPr txBox="1">
          <a:spLocks xmlns:a="http://schemas.openxmlformats.org/drawingml/2006/main"/>
        </cdr:cNvSpPr>
      </cdr:nvSpPr>
      <cdr:spPr>
        <a:xfrm xmlns:a="http://schemas.openxmlformats.org/drawingml/2006/main">
          <a:off x="1455619" y="4646217"/>
          <a:ext cx="977060" cy="29238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AD7BA7F6-057F-474D-8EBF-1024155A4AF8}" type="TxLink">
            <a:rPr lang="en-US" sz="600" b="1" i="0" u="none" strike="noStrike">
              <a:solidFill>
                <a:srgbClr val="5DC4E1"/>
              </a:solidFill>
              <a:latin typeface="Calibri"/>
              <a:ea typeface="Verdana" panose="020B0604030504040204" pitchFamily="34" charset="0"/>
              <a:cs typeface="Calibri"/>
            </a:rPr>
            <a:pPr algn="ctr"/>
            <a:t>REGIONALÖKONOMIE</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0.10811</cdr:x>
      <cdr:y>0.47409</cdr:y>
    </cdr:from>
    <cdr:to>
      <cdr:x>0.25842</cdr:x>
      <cdr:y>0.5993</cdr:y>
    </cdr:to>
    <cdr:sp macro="" textlink="Text!$BA$47">
      <cdr:nvSpPr>
        <cdr:cNvPr id="11" name="Textfeld 10"/>
        <cdr:cNvSpPr txBox="1">
          <a:spLocks xmlns:a="http://schemas.openxmlformats.org/drawingml/2006/main"/>
        </cdr:cNvSpPr>
      </cdr:nvSpPr>
      <cdr:spPr>
        <a:xfrm xmlns:a="http://schemas.openxmlformats.org/drawingml/2006/main">
          <a:off x="589287" y="2365161"/>
          <a:ext cx="819349" cy="624650"/>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7D4034-A28A-4CB4-9F70-EEAB996E4B6C}" type="TxLink">
            <a:rPr lang="en-US" sz="600" b="1" i="0" u="none" strike="noStrike">
              <a:solidFill>
                <a:srgbClr val="76B729"/>
              </a:solidFill>
              <a:latin typeface="Calibri"/>
              <a:ea typeface="Verdana" panose="020B0604030504040204" pitchFamily="34" charset="0"/>
              <a:cs typeface="Calibri"/>
            </a:rPr>
            <a:pPr algn="ctr"/>
            <a:t>ENERGIE</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0.10592</cdr:x>
      <cdr:y>0.19374</cdr:y>
    </cdr:from>
    <cdr:to>
      <cdr:x>0.3136</cdr:x>
      <cdr:y>0.31729</cdr:y>
    </cdr:to>
    <cdr:sp macro="" textlink="Text!$BA$48">
      <cdr:nvSpPr>
        <cdr:cNvPr id="12" name="Textfeld 11"/>
        <cdr:cNvSpPr txBox="1">
          <a:spLocks xmlns:a="http://schemas.openxmlformats.org/drawingml/2006/main"/>
        </cdr:cNvSpPr>
      </cdr:nvSpPr>
      <cdr:spPr>
        <a:xfrm xmlns:a="http://schemas.openxmlformats.org/drawingml/2006/main">
          <a:off x="534033" y="982431"/>
          <a:ext cx="1047091" cy="626496"/>
        </a:xfrm>
        <a:prstGeom xmlns:a="http://schemas.openxmlformats.org/drawingml/2006/main" prst="rect">
          <a:avLst/>
        </a:prstGeom>
      </cdr:spPr>
      <cdr:txBody>
        <a:bodyPr xmlns:a="http://schemas.openxmlformats.org/drawingml/2006/main" vertOverflow="overflow" horzOverflow="overflow" wrap="square" rtlCol="0" anchor="b">
          <a:noAutofit/>
        </a:bodyPr>
        <a:lstStyle xmlns:a="http://schemas.openxmlformats.org/drawingml/2006/main"/>
        <a:p xmlns:a="http://schemas.openxmlformats.org/drawingml/2006/main">
          <a:pPr algn="ctr"/>
          <a:fld id="{B1156D76-F399-43F9-9555-ECABFF9BA44E}" type="TxLink">
            <a:rPr lang="en-US" sz="600" b="1" i="0" u="none" strike="noStrike">
              <a:solidFill>
                <a:srgbClr val="76B729"/>
              </a:solidFill>
              <a:latin typeface="+mn-lt"/>
              <a:ea typeface="Verdana" panose="020B0604030504040204" pitchFamily="34" charset="0"/>
              <a:cs typeface="Calibri"/>
            </a:rPr>
            <a:pPr algn="ctr"/>
            <a:t>RESSOURCENSCHONUNG &amp; UMWELTSCHUTZ</a:t>
          </a:fld>
          <a:endParaRPr lang="de-CH" sz="600" b="1">
            <a:solidFill>
              <a:srgbClr val="76B729"/>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0.25282</cdr:x>
      <cdr:y>0.11157</cdr:y>
    </cdr:from>
    <cdr:to>
      <cdr:x>0.46047</cdr:x>
      <cdr:y>0.1979</cdr:y>
    </cdr:to>
    <cdr:sp macro="" textlink="Text!$BA$49">
      <cdr:nvSpPr>
        <cdr:cNvPr id="13" name="Textfeld 12"/>
        <cdr:cNvSpPr txBox="1">
          <a:spLocks xmlns:a="http://schemas.openxmlformats.org/drawingml/2006/main"/>
        </cdr:cNvSpPr>
      </cdr:nvSpPr>
      <cdr:spPr>
        <a:xfrm xmlns:a="http://schemas.openxmlformats.org/drawingml/2006/main">
          <a:off x="1378116" y="556613"/>
          <a:ext cx="1131899" cy="430669"/>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71D2E67E-6689-4CAC-BBE7-57D96BD9F3BB}" type="TxLink">
            <a:rPr lang="en-US" sz="600" b="1" i="0" u="none" strike="noStrike">
              <a:solidFill>
                <a:srgbClr val="76B729"/>
              </a:solidFill>
              <a:latin typeface="+mn-lt"/>
              <a:ea typeface="Verdana" panose="020B0604030504040204" pitchFamily="34" charset="0"/>
              <a:cs typeface="Arial" panose="020B0604020202020204" pitchFamily="34" charset="0"/>
            </a:rPr>
            <a:pPr algn="ctr"/>
            <a:t>NATUR &amp; LANDSCHAFT</a:t>
          </a:fld>
          <a:endParaRPr lang="de-CH" sz="600" b="1">
            <a:solidFill>
              <a:srgbClr val="76B729"/>
            </a:solidFill>
            <a:latin typeface="+mn-lt"/>
            <a:ea typeface="Verdana" panose="020B0604030504040204" pitchFamily="34" charset="0"/>
            <a:cs typeface="Arial" panose="020B0604020202020204" pitchFamily="34" charset="0"/>
          </a:endParaRPr>
        </a:p>
      </cdr:txBody>
    </cdr:sp>
  </cdr:relSizeAnchor>
  <cdr:relSizeAnchor xmlns:cdr="http://schemas.openxmlformats.org/drawingml/2006/chartDrawing">
    <cdr:from>
      <cdr:x>0.13471</cdr:x>
      <cdr:y>0.82313</cdr:y>
    </cdr:from>
    <cdr:to>
      <cdr:x>0.3301</cdr:x>
      <cdr:y>0.88463</cdr:y>
    </cdr:to>
    <cdr:sp macro="" textlink="Text!$BA$46">
      <cdr:nvSpPr>
        <cdr:cNvPr id="14" name="Textfeld 13"/>
        <cdr:cNvSpPr txBox="1">
          <a:spLocks xmlns:a="http://schemas.openxmlformats.org/drawingml/2006/main"/>
        </cdr:cNvSpPr>
      </cdr:nvSpPr>
      <cdr:spPr>
        <a:xfrm xmlns:a="http://schemas.openxmlformats.org/drawingml/2006/main">
          <a:off x="734647" y="4139032"/>
          <a:ext cx="1065536" cy="309215"/>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FD0EA82D-B2B7-4C41-A5AD-9995C0B309E2}" type="TxLink">
            <a:rPr lang="en-US" sz="600" b="1" i="0" u="none" strike="noStrike">
              <a:solidFill>
                <a:srgbClr val="76B729"/>
              </a:solidFill>
              <a:latin typeface="Calibri"/>
              <a:ea typeface="Verdana" panose="020B0604030504040204" pitchFamily="34" charset="0"/>
              <a:cs typeface="Calibri"/>
            </a:rPr>
            <a:pPr algn="ctr"/>
            <a:t>KLIMASCHUTZ</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0.30735</cdr:x>
      <cdr:y>0</cdr:y>
    </cdr:from>
    <cdr:to>
      <cdr:x>0.71663</cdr:x>
      <cdr:y>0.10049</cdr:y>
    </cdr:to>
    <cdr:sp macro="" textlink="Text!$C$312">
      <cdr:nvSpPr>
        <cdr:cNvPr id="30" name="Textfeld 1">
          <a:extLst xmlns:a="http://schemas.openxmlformats.org/drawingml/2006/main">
            <a:ext uri="{FF2B5EF4-FFF2-40B4-BE49-F238E27FC236}">
              <a16:creationId xmlns:a16="http://schemas.microsoft.com/office/drawing/2014/main" id="{9493B0A1-833B-FC06-964D-AE35FDE66E4F}"/>
            </a:ext>
          </a:extLst>
        </cdr:cNvPr>
        <cdr:cNvSpPr txBox="1">
          <a:spLocks xmlns:a="http://schemas.openxmlformats.org/drawingml/2006/main"/>
        </cdr:cNvSpPr>
      </cdr:nvSpPr>
      <cdr:spPr>
        <a:xfrm xmlns:a="http://schemas.openxmlformats.org/drawingml/2006/main">
          <a:off x="1677375" y="0"/>
          <a:ext cx="2233659" cy="505324"/>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F403B1F-9515-4801-9BD8-659A44643538}" type="TxLink">
            <a:rPr lang="en-US" sz="1100" b="1" i="0" u="none" strike="noStrike">
              <a:solidFill>
                <a:srgbClr val="000000"/>
              </a:solidFill>
              <a:latin typeface="Calibri"/>
              <a:ea typeface="Calibri"/>
              <a:cs typeface="Calibri"/>
            </a:rPr>
            <a:pPr algn="ctr"/>
            <a:t>Pre-Check SNBS 2023.1 Hochbau</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0.34096</cdr:x>
      <cdr:y>0.06016</cdr:y>
    </cdr:from>
    <cdr:to>
      <cdr:x>0.65255</cdr:x>
      <cdr:y>0.16065</cdr:y>
    </cdr:to>
    <cdr:sp macro="" textlink="Text!$BA$38">
      <cdr:nvSpPr>
        <cdr:cNvPr id="2" name="Textfeld 1"/>
        <cdr:cNvSpPr txBox="1">
          <a:spLocks xmlns:a="http://schemas.openxmlformats.org/drawingml/2006/main"/>
        </cdr:cNvSpPr>
      </cdr:nvSpPr>
      <cdr:spPr>
        <a:xfrm xmlns:a="http://schemas.openxmlformats.org/drawingml/2006/main">
          <a:off x="1848476" y="302503"/>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DAFDE67F-F819-4B1D-95B6-E544EFAB0BE2}" type="TxLink">
            <a:rPr lang="en-US" sz="600" b="1" i="0" u="none" strike="noStrike">
              <a:solidFill>
                <a:srgbClr val="E30613"/>
              </a:solidFill>
              <a:latin typeface="Calibri"/>
              <a:ea typeface="Verdana" panose="020B0604030504040204" pitchFamily="34" charset="0"/>
              <a:cs typeface="Calibri"/>
            </a:rPr>
            <a:pPr algn="ctr"/>
            <a:t>QUALITÄT DER ENTWICKLUNG</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0.54764</cdr:x>
      <cdr:y>0.13653</cdr:y>
    </cdr:from>
    <cdr:to>
      <cdr:x>0.85817</cdr:x>
      <cdr:y>0.23021</cdr:y>
    </cdr:to>
    <cdr:sp macro="" textlink="Text!$BA$39">
      <cdr:nvSpPr>
        <cdr:cNvPr id="3" name="Textfeld 2"/>
        <cdr:cNvSpPr txBox="1">
          <a:spLocks xmlns:a="http://schemas.openxmlformats.org/drawingml/2006/main"/>
        </cdr:cNvSpPr>
      </cdr:nvSpPr>
      <cdr:spPr>
        <a:xfrm xmlns:a="http://schemas.openxmlformats.org/drawingml/2006/main">
          <a:off x="2969022" y="686577"/>
          <a:ext cx="1683521" cy="471077"/>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CF8FD3-1B5F-4795-A852-60E7D21A6150}" type="TxLink">
            <a:rPr lang="en-US" sz="600" b="1" i="0" u="none" strike="noStrike">
              <a:solidFill>
                <a:srgbClr val="E30613"/>
              </a:solidFill>
              <a:latin typeface="Calibri"/>
              <a:ea typeface="Verdana" panose="020B0604030504040204" pitchFamily="34" charset="0"/>
              <a:cs typeface="Calibri"/>
            </a:rPr>
            <a:pPr algn="ctr"/>
            <a:t>ANGEBOT &amp; ERREICHBARKEIT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0.73413</cdr:x>
      <cdr:y>0.30366</cdr:y>
    </cdr:from>
    <cdr:to>
      <cdr:x>0.90463</cdr:x>
      <cdr:y>0.40163</cdr:y>
    </cdr:to>
    <cdr:sp macro="" textlink="Text!$BA$40">
      <cdr:nvSpPr>
        <cdr:cNvPr id="4" name="Textfeld 3"/>
        <cdr:cNvSpPr txBox="1">
          <a:spLocks xmlns:a="http://schemas.openxmlformats.org/drawingml/2006/main"/>
        </cdr:cNvSpPr>
      </cdr:nvSpPr>
      <cdr:spPr>
        <a:xfrm xmlns:a="http://schemas.openxmlformats.org/drawingml/2006/main">
          <a:off x="3980034" y="1526988"/>
          <a:ext cx="924356" cy="49265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A42C113-E41D-4C54-ABF2-B107075DFF41}" type="TxLink">
            <a:rPr lang="en-US" sz="600" b="1" i="0" u="none" strike="noStrike" baseline="0">
              <a:solidFill>
                <a:srgbClr val="E30613"/>
              </a:solidFill>
              <a:latin typeface="Calibri"/>
              <a:ea typeface="Verdana" panose="020B0604030504040204" pitchFamily="34" charset="0"/>
              <a:cs typeface="Calibri"/>
            </a:rPr>
            <a:pPr algn="ctr"/>
            <a:t>GEBRAUCHSQUALITÄT</a:t>
          </a:fld>
          <a:endParaRPr lang="de-CH" sz="600" b="1" baseline="0">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0.74908</cdr:x>
      <cdr:y>0.49803</cdr:y>
    </cdr:from>
    <cdr:to>
      <cdr:x>0.88999</cdr:x>
      <cdr:y>0.59495</cdr:y>
    </cdr:to>
    <cdr:sp macro="" textlink="Text!$BA$41">
      <cdr:nvSpPr>
        <cdr:cNvPr id="5" name="Textfeld 4"/>
        <cdr:cNvSpPr txBox="1">
          <a:spLocks xmlns:a="http://schemas.openxmlformats.org/drawingml/2006/main"/>
        </cdr:cNvSpPr>
      </cdr:nvSpPr>
      <cdr:spPr>
        <a:xfrm xmlns:a="http://schemas.openxmlformats.org/drawingml/2006/main">
          <a:off x="4061072" y="2504406"/>
          <a:ext cx="763936" cy="48737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25541890-0B57-48C1-A19C-98463FD8FE66}" type="TxLink">
            <a:rPr lang="en-US" sz="600" b="1" i="0" u="none" strike="noStrike">
              <a:solidFill>
                <a:srgbClr val="E30613"/>
              </a:solidFill>
              <a:latin typeface="Calibri"/>
              <a:ea typeface="Verdana" panose="020B0604030504040204" pitchFamily="34" charset="0"/>
              <a:cs typeface="Calibri"/>
            </a:rPr>
            <a:pPr algn="ctr"/>
            <a:t>WOHLBEFINDEN &amp; GESUNDHEIT</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0.60875</cdr:x>
      <cdr:y>0.85111</cdr:y>
    </cdr:from>
    <cdr:to>
      <cdr:x>0.8084</cdr:x>
      <cdr:y>0.94666</cdr:y>
    </cdr:to>
    <cdr:sp macro="" textlink="Text!$BA$42">
      <cdr:nvSpPr>
        <cdr:cNvPr id="6" name="Textfeld 5"/>
        <cdr:cNvSpPr txBox="1">
          <a:spLocks xmlns:a="http://schemas.openxmlformats.org/drawingml/2006/main"/>
        </cdr:cNvSpPr>
      </cdr:nvSpPr>
      <cdr:spPr>
        <a:xfrm xmlns:a="http://schemas.openxmlformats.org/drawingml/2006/main">
          <a:off x="3300299" y="4279867"/>
          <a:ext cx="1082391" cy="480483"/>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07AD34A0-6AF1-4118-85EF-63ACEB3E5EB5}" type="TxLink">
            <a:rPr lang="en-US" sz="600" b="1" i="0" u="none" strike="noStrike">
              <a:solidFill>
                <a:srgbClr val="5DC4E1"/>
              </a:solidFill>
              <a:latin typeface="Calibri"/>
              <a:ea typeface="Verdana" panose="020B0604030504040204" pitchFamily="34" charset="0"/>
              <a:cs typeface="Calibri"/>
            </a:rPr>
            <a:pPr algn="ctr"/>
            <a:t>LEBENSZYKLUS</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0.35114</cdr:x>
      <cdr:y>0.9192</cdr:y>
    </cdr:from>
    <cdr:to>
      <cdr:x>0.66217</cdr:x>
      <cdr:y>0.96619</cdr:y>
    </cdr:to>
    <cdr:sp macro="" textlink="Text!$BA$43">
      <cdr:nvSpPr>
        <cdr:cNvPr id="7" name="Textfeld 6"/>
        <cdr:cNvSpPr txBox="1">
          <a:spLocks xmlns:a="http://schemas.openxmlformats.org/drawingml/2006/main"/>
        </cdr:cNvSpPr>
      </cdr:nvSpPr>
      <cdr:spPr>
        <a:xfrm xmlns:a="http://schemas.openxmlformats.org/drawingml/2006/main">
          <a:off x="1903700" y="4622271"/>
          <a:ext cx="1686232" cy="23629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8D71CF61-7993-4C7D-A943-7E12511BFA5D}" type="TxLink">
            <a:rPr lang="en-US" sz="600" b="1" i="0" u="none" strike="noStrike">
              <a:solidFill>
                <a:srgbClr val="5DC4E1"/>
              </a:solidFill>
              <a:latin typeface="Calibri"/>
              <a:ea typeface="Verdana" panose="020B0604030504040204" pitchFamily="34" charset="0"/>
              <a:cs typeface="Calibri"/>
            </a:rPr>
            <a:pPr algn="ctr"/>
            <a:t>NUTZBARKEIT</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0.13475</cdr:x>
      <cdr:y>0.51938</cdr:y>
    </cdr:from>
    <cdr:to>
      <cdr:x>0.25975</cdr:x>
      <cdr:y>0.64459</cdr:y>
    </cdr:to>
    <cdr:sp macro="" textlink="Text!$BA$47">
      <cdr:nvSpPr>
        <cdr:cNvPr id="11" name="Textfeld 10"/>
        <cdr:cNvSpPr txBox="1">
          <a:spLocks xmlns:a="http://schemas.openxmlformats.org/drawingml/2006/main"/>
        </cdr:cNvSpPr>
      </cdr:nvSpPr>
      <cdr:spPr>
        <a:xfrm xmlns:a="http://schemas.openxmlformats.org/drawingml/2006/main">
          <a:off x="730543" y="2611763"/>
          <a:ext cx="677680" cy="62963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317D4034-A28A-4CB4-9F70-EEAB996E4B6C}" type="TxLink">
            <a:rPr lang="en-US" sz="600" b="1" i="0" u="none" strike="noStrike">
              <a:solidFill>
                <a:srgbClr val="76B729"/>
              </a:solidFill>
              <a:latin typeface="Calibri"/>
              <a:ea typeface="Verdana" panose="020B0604030504040204" pitchFamily="34" charset="0"/>
              <a:cs typeface="Calibri"/>
            </a:rPr>
            <a:pPr algn="ctr"/>
            <a:t>ENERGIE</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0.09248</cdr:x>
      <cdr:y>0.2309</cdr:y>
    </cdr:from>
    <cdr:to>
      <cdr:x>0.30016</cdr:x>
      <cdr:y>0.35445</cdr:y>
    </cdr:to>
    <cdr:sp macro="" textlink="Text!$BA$48">
      <cdr:nvSpPr>
        <cdr:cNvPr id="12" name="Textfeld 11"/>
        <cdr:cNvSpPr txBox="1">
          <a:spLocks xmlns:a="http://schemas.openxmlformats.org/drawingml/2006/main"/>
        </cdr:cNvSpPr>
      </cdr:nvSpPr>
      <cdr:spPr>
        <a:xfrm xmlns:a="http://schemas.openxmlformats.org/drawingml/2006/main">
          <a:off x="479404" y="1173432"/>
          <a:ext cx="1076586" cy="627893"/>
        </a:xfrm>
        <a:prstGeom xmlns:a="http://schemas.openxmlformats.org/drawingml/2006/main" prst="rect">
          <a:avLst/>
        </a:prstGeom>
      </cdr:spPr>
      <cdr:txBody>
        <a:bodyPr xmlns:a="http://schemas.openxmlformats.org/drawingml/2006/main" vertOverflow="overflow" horzOverflow="overflow" wrap="square" rtlCol="0" anchor="b">
          <a:noAutofit/>
        </a:bodyPr>
        <a:lstStyle xmlns:a="http://schemas.openxmlformats.org/drawingml/2006/main"/>
        <a:p xmlns:a="http://schemas.openxmlformats.org/drawingml/2006/main">
          <a:pPr algn="ctr"/>
          <a:fld id="{B1156D76-F399-43F9-9555-ECABFF9BA44E}" type="TxLink">
            <a:rPr lang="en-US" sz="600" b="1" i="0" u="none" strike="noStrike">
              <a:solidFill>
                <a:srgbClr val="76B729"/>
              </a:solidFill>
              <a:latin typeface="+mn-lt"/>
              <a:ea typeface="Verdana" panose="020B0604030504040204" pitchFamily="34" charset="0"/>
              <a:cs typeface="Calibri"/>
            </a:rPr>
            <a:pPr algn="ctr"/>
            <a:t>RESSOURCENSCHONUNG &amp; UMWELTSCHUTZ</a:t>
          </a:fld>
          <a:endParaRPr lang="de-CH" sz="600" b="1">
            <a:solidFill>
              <a:srgbClr val="76B729"/>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0.21073</cdr:x>
      <cdr:y>0.13859</cdr:y>
    </cdr:from>
    <cdr:to>
      <cdr:x>0.42004</cdr:x>
      <cdr:y>0.27039</cdr:y>
    </cdr:to>
    <cdr:sp macro="" textlink="Text!$BA$49">
      <cdr:nvSpPr>
        <cdr:cNvPr id="13" name="Textfeld 12"/>
        <cdr:cNvSpPr txBox="1">
          <a:spLocks xmlns:a="http://schemas.openxmlformats.org/drawingml/2006/main"/>
        </cdr:cNvSpPr>
      </cdr:nvSpPr>
      <cdr:spPr>
        <a:xfrm xmlns:a="http://schemas.openxmlformats.org/drawingml/2006/main">
          <a:off x="1134200" y="701232"/>
          <a:ext cx="1126498" cy="666860"/>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71D2E67E-6689-4CAC-BBE7-57D96BD9F3BB}" type="TxLink">
            <a:rPr lang="en-US" sz="600" b="1" i="0" u="none" strike="noStrike">
              <a:solidFill>
                <a:srgbClr val="76B729"/>
              </a:solidFill>
              <a:latin typeface="+mn-lt"/>
              <a:ea typeface="Verdana" panose="020B0604030504040204" pitchFamily="34" charset="0"/>
              <a:cs typeface="Arial" panose="020B0604020202020204" pitchFamily="34" charset="0"/>
            </a:rPr>
            <a:pPr algn="ctr"/>
            <a:t>NATUR &amp; LANDSCHAFT</a:t>
          </a:fld>
          <a:endParaRPr lang="de-CH" sz="600" b="1">
            <a:solidFill>
              <a:srgbClr val="76B729"/>
            </a:solidFill>
            <a:latin typeface="+mn-lt"/>
            <a:ea typeface="Verdana" panose="020B0604030504040204" pitchFamily="34" charset="0"/>
            <a:cs typeface="Arial" panose="020B0604020202020204" pitchFamily="34" charset="0"/>
          </a:endParaRPr>
        </a:p>
      </cdr:txBody>
    </cdr:sp>
  </cdr:relSizeAnchor>
  <cdr:relSizeAnchor xmlns:cdr="http://schemas.openxmlformats.org/drawingml/2006/chartDrawing">
    <cdr:from>
      <cdr:x>0.21769</cdr:x>
      <cdr:y>0.85932</cdr:y>
    </cdr:from>
    <cdr:to>
      <cdr:x>0.40043</cdr:x>
      <cdr:y>0.98453</cdr:y>
    </cdr:to>
    <cdr:sp macro="" textlink="Text!$BA$46">
      <cdr:nvSpPr>
        <cdr:cNvPr id="14" name="Textfeld 13"/>
        <cdr:cNvSpPr txBox="1">
          <a:spLocks xmlns:a="http://schemas.openxmlformats.org/drawingml/2006/main"/>
        </cdr:cNvSpPr>
      </cdr:nvSpPr>
      <cdr:spPr>
        <a:xfrm xmlns:a="http://schemas.openxmlformats.org/drawingml/2006/main">
          <a:off x="1177749" y="4321156"/>
          <a:ext cx="988695" cy="62963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FD0EA82D-B2B7-4C41-A5AD-9995C0B309E2}" type="TxLink">
            <a:rPr lang="en-US" sz="600" b="1" i="0" u="none" strike="noStrike">
              <a:solidFill>
                <a:srgbClr val="76B729"/>
              </a:solidFill>
              <a:latin typeface="Calibri"/>
              <a:ea typeface="Verdana" panose="020B0604030504040204" pitchFamily="34" charset="0"/>
              <a:cs typeface="Calibri"/>
            </a:rPr>
            <a:pPr algn="ctr"/>
            <a:t>KLIMASCHUTZ</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0.37666</cdr:x>
      <cdr:y>0.2151</cdr:y>
    </cdr:from>
    <cdr:to>
      <cdr:x>0.47992</cdr:x>
      <cdr:y>0.44802</cdr:y>
    </cdr:to>
    <cdr:sp macro="" textlink="">
      <cdr:nvSpPr>
        <cdr:cNvPr id="15" name="Textfeld 1">
          <a:extLst xmlns:a="http://schemas.openxmlformats.org/drawingml/2006/main">
            <a:ext uri="{FF2B5EF4-FFF2-40B4-BE49-F238E27FC236}">
              <a16:creationId xmlns:a16="http://schemas.microsoft.com/office/drawing/2014/main" id="{CA4F4DE0-2CCF-9390-CE61-24D4A0B5E728}"/>
            </a:ext>
          </a:extLst>
        </cdr:cNvPr>
        <cdr:cNvSpPr txBox="1"/>
      </cdr:nvSpPr>
      <cdr:spPr>
        <a:xfrm xmlns:a="http://schemas.openxmlformats.org/drawingml/2006/main">
          <a:off x="2038350" y="1073150"/>
          <a:ext cx="558800" cy="1162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800" b="1" i="1"/>
            <a:t>100%</a:t>
          </a:r>
        </a:p>
      </cdr:txBody>
    </cdr:sp>
  </cdr:relSizeAnchor>
  <cdr:relSizeAnchor xmlns:cdr="http://schemas.openxmlformats.org/drawingml/2006/chartDrawing">
    <cdr:from>
      <cdr:x>0.34546</cdr:x>
      <cdr:y>0.01353</cdr:y>
    </cdr:from>
    <cdr:to>
      <cdr:x>0.65705</cdr:x>
      <cdr:y>0.11402</cdr:y>
    </cdr:to>
    <cdr:sp macro="" textlink="Text!$BA$38">
      <cdr:nvSpPr>
        <cdr:cNvPr id="16" name="Textfeld 15">
          <a:extLst xmlns:a="http://schemas.openxmlformats.org/drawingml/2006/main">
            <a:ext uri="{FF2B5EF4-FFF2-40B4-BE49-F238E27FC236}">
              <a16:creationId xmlns:a16="http://schemas.microsoft.com/office/drawing/2014/main" id="{BB90CAA9-E246-D210-7830-79F6D96732DE}"/>
            </a:ext>
          </a:extLst>
        </cdr:cNvPr>
        <cdr:cNvSpPr txBox="1">
          <a:spLocks xmlns:a="http://schemas.openxmlformats.org/drawingml/2006/main"/>
        </cdr:cNvSpPr>
      </cdr:nvSpPr>
      <cdr:spPr>
        <a:xfrm xmlns:a="http://schemas.openxmlformats.org/drawingml/2006/main">
          <a:off x="1872899" y="6804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0.34276</cdr:x>
      <cdr:y>0.00285</cdr:y>
    </cdr:from>
    <cdr:to>
      <cdr:x>0.65435</cdr:x>
      <cdr:y>0.10334</cdr:y>
    </cdr:to>
    <cdr:sp macro="" textlink="Text!$C$403">
      <cdr:nvSpPr>
        <cdr:cNvPr id="17" name="Textfeld 16">
          <a:extLst xmlns:a="http://schemas.openxmlformats.org/drawingml/2006/main">
            <a:ext uri="{FF2B5EF4-FFF2-40B4-BE49-F238E27FC236}">
              <a16:creationId xmlns:a16="http://schemas.microsoft.com/office/drawing/2014/main" id="{45918009-DE66-C6D9-D651-D5632B895F40}"/>
            </a:ext>
          </a:extLst>
        </cdr:cNvPr>
        <cdr:cNvSpPr txBox="1">
          <a:spLocks xmlns:a="http://schemas.openxmlformats.org/drawingml/2006/main"/>
        </cdr:cNvSpPr>
      </cdr:nvSpPr>
      <cdr:spPr>
        <a:xfrm xmlns:a="http://schemas.openxmlformats.org/drawingml/2006/main">
          <a:off x="1858245" y="1431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5F3B0E78-D90D-4634-951F-67466B9D523B}" type="TxLink">
            <a:rPr lang="en-US" sz="1100" b="1" i="0" u="none" strike="noStrike">
              <a:solidFill>
                <a:srgbClr val="000000"/>
              </a:solidFill>
              <a:latin typeface="Calibri"/>
              <a:ea typeface="Calibri"/>
              <a:cs typeface="Calibri"/>
            </a:rPr>
            <a:pPr algn="ctr"/>
            <a:t>Klima-Check</a:t>
          </a:fld>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0.36442</cdr:x>
      <cdr:y>0.23976</cdr:y>
    </cdr:from>
    <cdr:to>
      <cdr:x>0.54109</cdr:x>
      <cdr:y>0.47268</cdr:y>
    </cdr:to>
    <cdr:sp macro="" textlink="">
      <cdr:nvSpPr>
        <cdr:cNvPr id="15" name="Textfeld 1">
          <a:extLst xmlns:a="http://schemas.openxmlformats.org/drawingml/2006/main">
            <a:ext uri="{FF2B5EF4-FFF2-40B4-BE49-F238E27FC236}">
              <a16:creationId xmlns:a16="http://schemas.microsoft.com/office/drawing/2014/main" id="{CA4F4DE0-2CCF-9390-CE61-24D4A0B5E728}"/>
            </a:ext>
          </a:extLst>
        </cdr:cNvPr>
        <cdr:cNvSpPr txBox="1"/>
      </cdr:nvSpPr>
      <cdr:spPr>
        <a:xfrm xmlns:a="http://schemas.openxmlformats.org/drawingml/2006/main">
          <a:off x="1437921" y="908734"/>
          <a:ext cx="697093" cy="88280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650" b="1" i="1"/>
            <a:t>100%</a:t>
          </a:r>
        </a:p>
      </cdr:txBody>
    </cdr:sp>
  </cdr:relSizeAnchor>
  <cdr:relSizeAnchor xmlns:cdr="http://schemas.openxmlformats.org/drawingml/2006/chartDrawing">
    <cdr:from>
      <cdr:x>0.34546</cdr:x>
      <cdr:y>0.01353</cdr:y>
    </cdr:from>
    <cdr:to>
      <cdr:x>0.65705</cdr:x>
      <cdr:y>0.11402</cdr:y>
    </cdr:to>
    <cdr:sp macro="" textlink="Text!$BA$38">
      <cdr:nvSpPr>
        <cdr:cNvPr id="16" name="Textfeld 15">
          <a:extLst xmlns:a="http://schemas.openxmlformats.org/drawingml/2006/main">
            <a:ext uri="{FF2B5EF4-FFF2-40B4-BE49-F238E27FC236}">
              <a16:creationId xmlns:a16="http://schemas.microsoft.com/office/drawing/2014/main" id="{BB90CAA9-E246-D210-7830-79F6D96732DE}"/>
            </a:ext>
          </a:extLst>
        </cdr:cNvPr>
        <cdr:cNvSpPr txBox="1">
          <a:spLocks xmlns:a="http://schemas.openxmlformats.org/drawingml/2006/main"/>
        </cdr:cNvSpPr>
      </cdr:nvSpPr>
      <cdr:spPr>
        <a:xfrm xmlns:a="http://schemas.openxmlformats.org/drawingml/2006/main">
          <a:off x="1872899" y="6804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cdr:x>
      <cdr:y>0.00285</cdr:y>
    </cdr:from>
    <cdr:to>
      <cdr:x>1</cdr:x>
      <cdr:y>0.10141</cdr:y>
    </cdr:to>
    <cdr:sp macro="" textlink="Text!$C$591">
      <cdr:nvSpPr>
        <cdr:cNvPr id="8" name="Textfeld 7">
          <a:extLst xmlns:a="http://schemas.openxmlformats.org/drawingml/2006/main">
            <a:ext uri="{FF2B5EF4-FFF2-40B4-BE49-F238E27FC236}">
              <a16:creationId xmlns:a16="http://schemas.microsoft.com/office/drawing/2014/main" id="{5D0C2BEC-EFA1-681A-16D0-36608ADE78BD}"/>
            </a:ext>
          </a:extLst>
        </cdr:cNvPr>
        <cdr:cNvSpPr txBox="1">
          <a:spLocks xmlns:a="http://schemas.openxmlformats.org/drawingml/2006/main"/>
        </cdr:cNvSpPr>
      </cdr:nvSpPr>
      <cdr:spPr>
        <a:xfrm xmlns:a="http://schemas.openxmlformats.org/drawingml/2006/main">
          <a:off x="0" y="6622"/>
          <a:ext cx="2556000" cy="229006"/>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F0612FB9-6FEF-4ECD-9016-BA40BC40E667}" type="TxLink">
            <a:rPr lang="en-US" sz="1100" b="1" i="0" u="none" strike="noStrike">
              <a:solidFill>
                <a:srgbClr val="000000"/>
              </a:solidFill>
              <a:latin typeface="Calibri"/>
              <a:ea typeface="Calibri"/>
              <a:cs typeface="Calibri"/>
            </a:rPr>
            <a:pPr algn="ctr"/>
            <a:t>Klimaschutz</a:t>
          </a:fld>
          <a:endParaRPr lang="de-CH" sz="10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0.29322</cdr:x>
      <cdr:y>0.05467</cdr:y>
    </cdr:from>
    <cdr:to>
      <cdr:x>0.71352</cdr:x>
      <cdr:y>0.18938</cdr:y>
    </cdr:to>
    <cdr:sp macro="" textlink="Text!$BA$38">
      <cdr:nvSpPr>
        <cdr:cNvPr id="2" name="Textfeld 1">
          <a:extLst xmlns:a="http://schemas.openxmlformats.org/drawingml/2006/main">
            <a:ext uri="{FF2B5EF4-FFF2-40B4-BE49-F238E27FC236}">
              <a16:creationId xmlns:a16="http://schemas.microsoft.com/office/drawing/2014/main" id="{471C8EA9-55AD-9032-A5D1-A0B0F7ABA495}"/>
            </a:ext>
          </a:extLst>
        </cdr:cNvPr>
        <cdr:cNvSpPr txBox="1">
          <a:spLocks xmlns:a="http://schemas.openxmlformats.org/drawingml/2006/main"/>
        </cdr:cNvSpPr>
      </cdr:nvSpPr>
      <cdr:spPr>
        <a:xfrm xmlns:a="http://schemas.openxmlformats.org/drawingml/2006/main">
          <a:off x="1178131" y="200891"/>
          <a:ext cx="1688732" cy="495037"/>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E5FF92D5-4421-4897-8664-F9F1E350B3F9}" type="TxLink">
            <a:rPr lang="en-US" sz="600" b="1" i="0" u="none" strike="noStrike">
              <a:solidFill>
                <a:srgbClr val="E30613"/>
              </a:solidFill>
              <a:latin typeface="Calibri"/>
              <a:ea typeface="Verdana" panose="020B0604030504040204" pitchFamily="34" charset="0"/>
              <a:cs typeface="Calibri"/>
            </a:rPr>
            <a:pPr marL="0" indent="0" algn="ctr"/>
            <a:t>QUALITÄT DER ENTWICKLUNG</a:t>
          </a:fld>
          <a:endParaRPr lang="de-CH" sz="600" b="1" i="0" u="none" strike="noStrike">
            <a:solidFill>
              <a:srgbClr val="E30613"/>
            </a:solidFill>
            <a:latin typeface="Calibri"/>
            <a:ea typeface="Verdana" panose="020B0604030504040204" pitchFamily="34" charset="0"/>
            <a:cs typeface="Calibri"/>
          </a:endParaRPr>
        </a:p>
      </cdr:txBody>
    </cdr:sp>
  </cdr:relSizeAnchor>
  <cdr:relSizeAnchor xmlns:cdr="http://schemas.openxmlformats.org/drawingml/2006/chartDrawing">
    <cdr:from>
      <cdr:x>0.62644</cdr:x>
      <cdr:y>0.24816</cdr:y>
    </cdr:from>
    <cdr:to>
      <cdr:x>1</cdr:x>
      <cdr:y>0.36016</cdr:y>
    </cdr:to>
    <cdr:sp macro="" textlink="Text!$BA$39">
      <cdr:nvSpPr>
        <cdr:cNvPr id="3" name="Textfeld 2">
          <a:extLst xmlns:a="http://schemas.openxmlformats.org/drawingml/2006/main">
            <a:ext uri="{FF2B5EF4-FFF2-40B4-BE49-F238E27FC236}">
              <a16:creationId xmlns:a16="http://schemas.microsoft.com/office/drawing/2014/main" id="{A48264EE-9BD1-2668-99A9-8EE76730F0B8}"/>
            </a:ext>
          </a:extLst>
        </cdr:cNvPr>
        <cdr:cNvSpPr txBox="1">
          <a:spLocks xmlns:a="http://schemas.openxmlformats.org/drawingml/2006/main"/>
        </cdr:cNvSpPr>
      </cdr:nvSpPr>
      <cdr:spPr>
        <a:xfrm xmlns:a="http://schemas.openxmlformats.org/drawingml/2006/main">
          <a:off x="2516985" y="911926"/>
          <a:ext cx="1500909" cy="411562"/>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519B237C-37E3-4339-9842-4FBA48D65E77}" type="TxLink">
            <a:rPr lang="en-US" sz="600" b="1" i="0" u="none" strike="noStrike">
              <a:solidFill>
                <a:srgbClr val="E30613"/>
              </a:solidFill>
              <a:latin typeface="Calibri"/>
              <a:ea typeface="Verdana" panose="020B0604030504040204" pitchFamily="34" charset="0"/>
              <a:cs typeface="Calibri"/>
            </a:rPr>
            <a:pPr marL="0" indent="0" algn="ctr"/>
            <a:t>ANGEBOT &amp; ERREICHBARKEIT</a:t>
          </a:fld>
          <a:endParaRPr lang="de-CH" sz="600" b="1" i="0" u="none" strike="noStrike">
            <a:solidFill>
              <a:srgbClr val="E30613"/>
            </a:solidFill>
            <a:latin typeface="Calibri"/>
            <a:ea typeface="Verdana" panose="020B0604030504040204" pitchFamily="34" charset="0"/>
            <a:cs typeface="Calibri"/>
          </a:endParaRPr>
        </a:p>
      </cdr:txBody>
    </cdr:sp>
  </cdr:relSizeAnchor>
  <cdr:relSizeAnchor xmlns:cdr="http://schemas.openxmlformats.org/drawingml/2006/chartDrawing">
    <cdr:from>
      <cdr:x>0.68318</cdr:x>
      <cdr:y>0.73546</cdr:y>
    </cdr:from>
    <cdr:to>
      <cdr:x>0.95248</cdr:x>
      <cdr:y>0.86356</cdr:y>
    </cdr:to>
    <cdr:sp macro="" textlink="Text!$BA$42">
      <cdr:nvSpPr>
        <cdr:cNvPr id="4" name="Textfeld 3">
          <a:extLst xmlns:a="http://schemas.openxmlformats.org/drawingml/2006/main">
            <a:ext uri="{FF2B5EF4-FFF2-40B4-BE49-F238E27FC236}">
              <a16:creationId xmlns:a16="http://schemas.microsoft.com/office/drawing/2014/main" id="{7804D739-09C7-F766-6354-A4E65B2CCF4A}"/>
            </a:ext>
          </a:extLst>
        </cdr:cNvPr>
        <cdr:cNvSpPr txBox="1">
          <a:spLocks xmlns:a="http://schemas.openxmlformats.org/drawingml/2006/main"/>
        </cdr:cNvSpPr>
      </cdr:nvSpPr>
      <cdr:spPr>
        <a:xfrm xmlns:a="http://schemas.openxmlformats.org/drawingml/2006/main">
          <a:off x="2695647" y="2787525"/>
          <a:ext cx="1062587" cy="485522"/>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C35B2ED7-FCD8-4B06-8718-FD62926194F6}" type="TxLink">
            <a:rPr lang="en-US" sz="600" b="1" i="0" u="none" strike="noStrike">
              <a:solidFill>
                <a:srgbClr val="5DC4E1"/>
              </a:solidFill>
              <a:latin typeface="Calibri"/>
              <a:ea typeface="Calibri"/>
              <a:cs typeface="Calibri"/>
            </a:rPr>
            <a:pPr marL="0" indent="0" algn="ctr"/>
            <a:t>LEBENSZYKLUS</a:t>
          </a:fld>
          <a:endParaRPr lang="de-CH" sz="600" b="1" i="0" u="none" strike="noStrike">
            <a:solidFill>
              <a:srgbClr val="5DC4E1"/>
            </a:solidFill>
            <a:latin typeface="Calibri"/>
            <a:ea typeface="Calibri"/>
            <a:cs typeface="Calibri"/>
          </a:endParaRPr>
        </a:p>
      </cdr:txBody>
    </cdr:sp>
  </cdr:relSizeAnchor>
  <cdr:relSizeAnchor xmlns:cdr="http://schemas.openxmlformats.org/drawingml/2006/chartDrawing">
    <cdr:from>
      <cdr:x>0.29546</cdr:x>
      <cdr:y>0.93701</cdr:y>
    </cdr:from>
    <cdr:to>
      <cdr:x>0.71501</cdr:x>
      <cdr:y>1</cdr:y>
    </cdr:to>
    <cdr:sp macro="" textlink="Text!$BA$43">
      <cdr:nvSpPr>
        <cdr:cNvPr id="5" name="Textfeld 4">
          <a:extLst xmlns:a="http://schemas.openxmlformats.org/drawingml/2006/main">
            <a:ext uri="{FF2B5EF4-FFF2-40B4-BE49-F238E27FC236}">
              <a16:creationId xmlns:a16="http://schemas.microsoft.com/office/drawing/2014/main" id="{9241AC0D-82FD-8FB5-7F60-EC493C934DC8}"/>
            </a:ext>
          </a:extLst>
        </cdr:cNvPr>
        <cdr:cNvSpPr txBox="1">
          <a:spLocks xmlns:a="http://schemas.openxmlformats.org/drawingml/2006/main"/>
        </cdr:cNvSpPr>
      </cdr:nvSpPr>
      <cdr:spPr>
        <a:xfrm xmlns:a="http://schemas.openxmlformats.org/drawingml/2006/main">
          <a:off x="1187121" y="3443242"/>
          <a:ext cx="1685697" cy="231483"/>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60173C9-B094-40ED-BB24-AE0BBC31821C}" type="TxLink">
            <a:rPr lang="en-US" sz="600" b="1" i="0" u="none" strike="noStrike">
              <a:solidFill>
                <a:srgbClr val="5DC4E1"/>
              </a:solidFill>
              <a:latin typeface="Calibri"/>
              <a:ea typeface="Calibri"/>
              <a:cs typeface="Calibri"/>
            </a:rPr>
            <a:pPr algn="ctr"/>
            <a:t>NUTZBARKEIT</a:t>
          </a:fld>
          <a:endParaRPr lang="de-CH" sz="600" b="1">
            <a:solidFill>
              <a:srgbClr val="5DC4E1"/>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0.05196</cdr:x>
      <cdr:y>0.22187</cdr:y>
    </cdr:from>
    <cdr:to>
      <cdr:x>0.384</cdr:x>
      <cdr:y>0.3875</cdr:y>
    </cdr:to>
    <cdr:sp macro="" textlink="Text!$BA$48">
      <cdr:nvSpPr>
        <cdr:cNvPr id="6" name="Textfeld 5">
          <a:extLst xmlns:a="http://schemas.openxmlformats.org/drawingml/2006/main">
            <a:ext uri="{FF2B5EF4-FFF2-40B4-BE49-F238E27FC236}">
              <a16:creationId xmlns:a16="http://schemas.microsoft.com/office/drawing/2014/main" id="{005A3C63-22EF-E751-69C7-26453E9DAF14}"/>
            </a:ext>
          </a:extLst>
        </cdr:cNvPr>
        <cdr:cNvSpPr txBox="1">
          <a:spLocks xmlns:a="http://schemas.openxmlformats.org/drawingml/2006/main"/>
        </cdr:cNvSpPr>
      </cdr:nvSpPr>
      <cdr:spPr>
        <a:xfrm xmlns:a="http://schemas.openxmlformats.org/drawingml/2006/main">
          <a:off x="213011" y="819252"/>
          <a:ext cx="1361243" cy="611587"/>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B01C925D-84C9-47BF-99B5-6950515FC472}" type="TxLink">
            <a:rPr lang="en-US" sz="600" b="1" i="0" u="none" strike="noStrike">
              <a:solidFill>
                <a:srgbClr val="76B729"/>
              </a:solidFill>
              <a:latin typeface="Calibri"/>
              <a:ea typeface="Calibri"/>
              <a:cs typeface="Calibri"/>
            </a:rPr>
            <a:pPr algn="ctr"/>
            <a:t>RESSOURCENSCHONUNG &amp; UMWELTSCHUTZ</a:t>
          </a:fld>
          <a:endParaRPr lang="de-CH" sz="600" b="1">
            <a:solidFill>
              <a:srgbClr val="76B729"/>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0.08671</cdr:x>
      <cdr:y>0.72308</cdr:y>
    </cdr:from>
    <cdr:to>
      <cdr:x>0.33321</cdr:x>
      <cdr:y>0.89094</cdr:y>
    </cdr:to>
    <cdr:sp macro="" textlink="Text!$BA$46">
      <cdr:nvSpPr>
        <cdr:cNvPr id="7" name="Textfeld 6">
          <a:extLst xmlns:a="http://schemas.openxmlformats.org/drawingml/2006/main">
            <a:ext uri="{FF2B5EF4-FFF2-40B4-BE49-F238E27FC236}">
              <a16:creationId xmlns:a16="http://schemas.microsoft.com/office/drawing/2014/main" id="{E955559A-154E-BB17-EF52-0FC3B0A77EE5}"/>
            </a:ext>
          </a:extLst>
        </cdr:cNvPr>
        <cdr:cNvSpPr txBox="1">
          <a:spLocks xmlns:a="http://schemas.openxmlformats.org/drawingml/2006/main"/>
        </cdr:cNvSpPr>
      </cdr:nvSpPr>
      <cdr:spPr>
        <a:xfrm xmlns:a="http://schemas.openxmlformats.org/drawingml/2006/main">
          <a:off x="342135" y="2740601"/>
          <a:ext cx="972623" cy="636220"/>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3B48808-4F9F-455B-967F-A3CA4ACE4916}" type="TxLink">
            <a:rPr lang="en-US" sz="600" b="1" i="0" u="none" strike="noStrike">
              <a:solidFill>
                <a:srgbClr val="76B729"/>
              </a:solidFill>
              <a:latin typeface="Calibri"/>
              <a:ea typeface="Calibri"/>
              <a:cs typeface="Calibri"/>
            </a:rPr>
            <a:pPr algn="ctr"/>
            <a:t>KLIMASCHUTZ</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0.25961</cdr:x>
      <cdr:y>0.89127</cdr:y>
    </cdr:from>
    <cdr:to>
      <cdr:x>0.38697</cdr:x>
      <cdr:y>1</cdr:y>
    </cdr:to>
    <cdr:sp macro="" textlink="Text!$BA$45">
      <cdr:nvSpPr>
        <cdr:cNvPr id="10" name="Textfeld 9"/>
        <cdr:cNvSpPr txBox="1">
          <a:spLocks xmlns:a="http://schemas.openxmlformats.org/drawingml/2006/main"/>
        </cdr:cNvSpPr>
      </cdr:nvSpPr>
      <cdr:spPr>
        <a:xfrm xmlns:a="http://schemas.openxmlformats.org/drawingml/2006/main">
          <a:off x="1447873" y="4684568"/>
          <a:ext cx="710301" cy="571501"/>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l"/>
          <a:fld id="{D5AA1521-F280-49AB-B17A-6C3EF69C0F1F}" type="TxLink">
            <a:rPr lang="en-US" sz="600" b="1" i="0" u="none" strike="noStrike">
              <a:solidFill>
                <a:schemeClr val="accent5">
                  <a:lumMod val="75000"/>
                </a:schemeClr>
              </a:solidFill>
              <a:latin typeface="Calibri"/>
              <a:ea typeface="Verdana" panose="020B0604030504040204" pitchFamily="34" charset="0"/>
              <a:cs typeface="Calibri"/>
            </a:rPr>
            <a:pPr algn="l"/>
            <a:t> </a:t>
          </a:fld>
          <a:endParaRPr lang="de-CH" sz="600" b="1">
            <a:solidFill>
              <a:schemeClr val="accent5">
                <a:lumMod val="75000"/>
              </a:schemeClr>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0.3635</cdr:x>
      <cdr:y>0.21825</cdr:y>
    </cdr:from>
    <cdr:to>
      <cdr:x>0.54017</cdr:x>
      <cdr:y>0.45117</cdr:y>
    </cdr:to>
    <cdr:sp macro="" textlink="">
      <cdr:nvSpPr>
        <cdr:cNvPr id="15" name="Textfeld 1">
          <a:extLst xmlns:a="http://schemas.openxmlformats.org/drawingml/2006/main">
            <a:ext uri="{FF2B5EF4-FFF2-40B4-BE49-F238E27FC236}">
              <a16:creationId xmlns:a16="http://schemas.microsoft.com/office/drawing/2014/main" id="{CA4F4DE0-2CCF-9390-CE61-24D4A0B5E728}"/>
            </a:ext>
          </a:extLst>
        </cdr:cNvPr>
        <cdr:cNvSpPr txBox="1"/>
      </cdr:nvSpPr>
      <cdr:spPr>
        <a:xfrm xmlns:a="http://schemas.openxmlformats.org/drawingml/2006/main">
          <a:off x="1469280" y="833524"/>
          <a:ext cx="714108" cy="8895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650" b="1" i="1"/>
            <a:t>100%</a:t>
          </a:r>
        </a:p>
      </cdr:txBody>
    </cdr:sp>
  </cdr:relSizeAnchor>
  <cdr:relSizeAnchor xmlns:cdr="http://schemas.openxmlformats.org/drawingml/2006/chartDrawing">
    <cdr:from>
      <cdr:x>0.34546</cdr:x>
      <cdr:y>0.01353</cdr:y>
    </cdr:from>
    <cdr:to>
      <cdr:x>0.65705</cdr:x>
      <cdr:y>0.11402</cdr:y>
    </cdr:to>
    <cdr:sp macro="" textlink="Text!$BA$38">
      <cdr:nvSpPr>
        <cdr:cNvPr id="16" name="Textfeld 15">
          <a:extLst xmlns:a="http://schemas.openxmlformats.org/drawingml/2006/main">
            <a:ext uri="{FF2B5EF4-FFF2-40B4-BE49-F238E27FC236}">
              <a16:creationId xmlns:a16="http://schemas.microsoft.com/office/drawing/2014/main" id="{BB90CAA9-E246-D210-7830-79F6D96732DE}"/>
            </a:ext>
          </a:extLst>
        </cdr:cNvPr>
        <cdr:cNvSpPr txBox="1">
          <a:spLocks xmlns:a="http://schemas.openxmlformats.org/drawingml/2006/main"/>
        </cdr:cNvSpPr>
      </cdr:nvSpPr>
      <cdr:spPr>
        <a:xfrm xmlns:a="http://schemas.openxmlformats.org/drawingml/2006/main">
          <a:off x="1872899" y="68041"/>
          <a:ext cx="1689268" cy="505324"/>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endParaRPr lang="de-CH" sz="6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cdr:x>
      <cdr:y>0.00285</cdr:y>
    </cdr:from>
    <cdr:to>
      <cdr:x>1</cdr:x>
      <cdr:y>0.1805</cdr:y>
    </cdr:to>
    <cdr:sp macro="" textlink="Text!$C$592">
      <cdr:nvSpPr>
        <cdr:cNvPr id="17" name="Textfeld 16">
          <a:extLst xmlns:a="http://schemas.openxmlformats.org/drawingml/2006/main">
            <a:ext uri="{FF2B5EF4-FFF2-40B4-BE49-F238E27FC236}">
              <a16:creationId xmlns:a16="http://schemas.microsoft.com/office/drawing/2014/main" id="{45918009-DE66-C6D9-D651-D5632B895F40}"/>
            </a:ext>
          </a:extLst>
        </cdr:cNvPr>
        <cdr:cNvSpPr txBox="1">
          <a:spLocks xmlns:a="http://schemas.openxmlformats.org/drawingml/2006/main"/>
        </cdr:cNvSpPr>
      </cdr:nvSpPr>
      <cdr:spPr>
        <a:xfrm xmlns:a="http://schemas.openxmlformats.org/drawingml/2006/main">
          <a:off x="0" y="6798"/>
          <a:ext cx="2531221" cy="423782"/>
        </a:xfrm>
        <a:prstGeom xmlns:a="http://schemas.openxmlformats.org/drawingml/2006/main" prst="rect">
          <a:avLst/>
        </a:prstGeom>
      </cdr:spPr>
      <cdr:txBody>
        <a:bodyPr xmlns:a="http://schemas.openxmlformats.org/drawingml/2006/main" vertOverflow="overflow" horzOverflow="overflow" wrap="square" rtlCol="0" anchor="t">
          <a:noAutofit/>
        </a:bodyPr>
        <a:lstStyle xmlns:a="http://schemas.openxmlformats.org/drawingml/2006/main"/>
        <a:p xmlns:a="http://schemas.openxmlformats.org/drawingml/2006/main">
          <a:pPr algn="ctr"/>
          <a:fld id="{96934947-0D00-4A3C-BB47-C3E95D73968B}" type="TxLink">
            <a:rPr lang="en-US" sz="1100" b="1" i="0" u="none" strike="noStrike">
              <a:solidFill>
                <a:srgbClr val="000000"/>
              </a:solidFill>
              <a:latin typeface="Calibri"/>
              <a:ea typeface="Calibri"/>
              <a:cs typeface="Calibri"/>
            </a:rPr>
            <a:pPr algn="ctr"/>
            <a:t>Klimaanpassung</a:t>
          </a:fld>
          <a:endParaRPr lang="de-CH" sz="1100" b="1">
            <a:solidFill>
              <a:srgbClr val="E30613"/>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0.29482</cdr:x>
      <cdr:y>0.06543</cdr:y>
    </cdr:from>
    <cdr:to>
      <cdr:x>0.71331</cdr:x>
      <cdr:y>0.19652</cdr:y>
    </cdr:to>
    <cdr:sp macro="" textlink="Text!$BA$38">
      <cdr:nvSpPr>
        <cdr:cNvPr id="2" name="Textfeld 1">
          <a:extLst xmlns:a="http://schemas.openxmlformats.org/drawingml/2006/main">
            <a:ext uri="{FF2B5EF4-FFF2-40B4-BE49-F238E27FC236}">
              <a16:creationId xmlns:a16="http://schemas.microsoft.com/office/drawing/2014/main" id="{41E525B4-73F4-5D60-35DA-9F3EB8B80F0C}"/>
            </a:ext>
          </a:extLst>
        </cdr:cNvPr>
        <cdr:cNvSpPr txBox="1">
          <a:spLocks xmlns:a="http://schemas.openxmlformats.org/drawingml/2006/main"/>
        </cdr:cNvSpPr>
      </cdr:nvSpPr>
      <cdr:spPr>
        <a:xfrm xmlns:a="http://schemas.openxmlformats.org/drawingml/2006/main">
          <a:off x="1189675" y="247072"/>
          <a:ext cx="1688732" cy="495037"/>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0C8F2D95-BD95-4B35-881A-37169E374A41}" type="TxLink">
            <a:rPr lang="en-US" sz="600" b="1" i="0" u="none" strike="noStrike" baseline="0">
              <a:solidFill>
                <a:srgbClr val="E30613"/>
              </a:solidFill>
              <a:latin typeface="Calibri"/>
              <a:ea typeface="Verdana" panose="020B0604030504040204" pitchFamily="34" charset="0"/>
              <a:cs typeface="Calibri"/>
            </a:rPr>
            <a:pPr marL="0" indent="0" algn="ctr"/>
            <a:t>QUALITÄT DER ENTWICKLUNG</a:t>
          </a:fld>
          <a:endParaRPr lang="de-CH" sz="600" b="1" i="0" u="none" strike="noStrike" baseline="0">
            <a:solidFill>
              <a:srgbClr val="E30613"/>
            </a:solidFill>
            <a:latin typeface="Calibri"/>
            <a:ea typeface="Verdana" panose="020B0604030504040204" pitchFamily="34" charset="0"/>
            <a:cs typeface="Calibri"/>
          </a:endParaRPr>
        </a:p>
      </cdr:txBody>
    </cdr:sp>
  </cdr:relSizeAnchor>
  <cdr:relSizeAnchor xmlns:cdr="http://schemas.openxmlformats.org/drawingml/2006/chartDrawing">
    <cdr:from>
      <cdr:x>0.48851</cdr:x>
      <cdr:y>0.13754</cdr:y>
    </cdr:from>
    <cdr:to>
      <cdr:x>0.90558</cdr:x>
      <cdr:y>0.25974</cdr:y>
    </cdr:to>
    <cdr:sp macro="" textlink="Text!$BA$39">
      <cdr:nvSpPr>
        <cdr:cNvPr id="3" name="Textfeld 2">
          <a:extLst xmlns:a="http://schemas.openxmlformats.org/drawingml/2006/main">
            <a:ext uri="{FF2B5EF4-FFF2-40B4-BE49-F238E27FC236}">
              <a16:creationId xmlns:a16="http://schemas.microsoft.com/office/drawing/2014/main" id="{68E34789-5537-42CF-4D6E-C0E3243F9A3D}"/>
            </a:ext>
          </a:extLst>
        </cdr:cNvPr>
        <cdr:cNvSpPr txBox="1">
          <a:spLocks xmlns:a="http://schemas.openxmlformats.org/drawingml/2006/main"/>
        </cdr:cNvSpPr>
      </cdr:nvSpPr>
      <cdr:spPr>
        <a:xfrm xmlns:a="http://schemas.openxmlformats.org/drawingml/2006/main">
          <a:off x="1971267" y="519380"/>
          <a:ext cx="1682987" cy="461489"/>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7CE7F165-8D39-4091-A7D7-CE3B22266B6F}" type="TxLink">
            <a:rPr lang="en-US" sz="600" b="1" i="0" u="none" strike="noStrike" baseline="0">
              <a:solidFill>
                <a:srgbClr val="E30613"/>
              </a:solidFill>
              <a:latin typeface="Calibri"/>
              <a:ea typeface="Verdana" panose="020B0604030504040204" pitchFamily="34" charset="0"/>
              <a:cs typeface="Calibri"/>
            </a:rPr>
            <a:pPr marL="0" indent="0" algn="ctr"/>
            <a:t>ANGEBOT &amp; ERREICHBARKEIT</a:t>
          </a:fld>
          <a:endParaRPr lang="de-CH" sz="600" b="1" i="0" u="none" strike="noStrike" baseline="0">
            <a:solidFill>
              <a:srgbClr val="E30613"/>
            </a:solidFill>
            <a:latin typeface="Calibri"/>
            <a:ea typeface="Verdana" panose="020B0604030504040204" pitchFamily="34" charset="0"/>
            <a:cs typeface="Calibri"/>
          </a:endParaRPr>
        </a:p>
      </cdr:txBody>
    </cdr:sp>
  </cdr:relSizeAnchor>
  <cdr:relSizeAnchor xmlns:cdr="http://schemas.openxmlformats.org/drawingml/2006/chartDrawing">
    <cdr:from>
      <cdr:x>0.71378</cdr:x>
      <cdr:y>0.35851</cdr:y>
    </cdr:from>
    <cdr:to>
      <cdr:x>0.94278</cdr:x>
      <cdr:y>0.48631</cdr:y>
    </cdr:to>
    <cdr:sp macro="" textlink="Text!$BA$40">
      <cdr:nvSpPr>
        <cdr:cNvPr id="4" name="Textfeld 3">
          <a:extLst xmlns:a="http://schemas.openxmlformats.org/drawingml/2006/main">
            <a:ext uri="{FF2B5EF4-FFF2-40B4-BE49-F238E27FC236}">
              <a16:creationId xmlns:a16="http://schemas.microsoft.com/office/drawing/2014/main" id="{B4F9E66F-C307-F816-4069-FA756FFD3016}"/>
            </a:ext>
          </a:extLst>
        </cdr:cNvPr>
        <cdr:cNvSpPr txBox="1">
          <a:spLocks xmlns:a="http://schemas.openxmlformats.org/drawingml/2006/main"/>
        </cdr:cNvSpPr>
      </cdr:nvSpPr>
      <cdr:spPr>
        <a:xfrm xmlns:a="http://schemas.openxmlformats.org/drawingml/2006/main">
          <a:off x="2902946" y="1349498"/>
          <a:ext cx="931344" cy="481062"/>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8229685D-5BED-4CE0-8759-6B3F2430020C}" type="TxLink">
            <a:rPr lang="en-US" sz="600" b="1" i="0" u="none" strike="noStrike" baseline="0">
              <a:solidFill>
                <a:srgbClr val="E30613"/>
              </a:solidFill>
              <a:latin typeface="Calibri"/>
              <a:ea typeface="Verdana" panose="020B0604030504040204" pitchFamily="34" charset="0"/>
              <a:cs typeface="Calibri"/>
            </a:rPr>
            <a:pPr marL="0" indent="0" algn="ctr"/>
            <a:t>GEBRAUCHSQUALITÄT</a:t>
          </a:fld>
          <a:endParaRPr lang="de-CH" sz="600" b="1" i="0" u="none" strike="noStrike" baseline="0">
            <a:solidFill>
              <a:srgbClr val="E30613"/>
            </a:solidFill>
            <a:latin typeface="Calibri"/>
            <a:ea typeface="Verdana" panose="020B0604030504040204" pitchFamily="34" charset="0"/>
            <a:cs typeface="Calibri"/>
          </a:endParaRPr>
        </a:p>
      </cdr:txBody>
    </cdr:sp>
  </cdr:relSizeAnchor>
  <cdr:relSizeAnchor xmlns:cdr="http://schemas.openxmlformats.org/drawingml/2006/chartDrawing">
    <cdr:from>
      <cdr:x>0.66035</cdr:x>
      <cdr:y>0.73753</cdr:y>
    </cdr:from>
    <cdr:to>
      <cdr:x>0.88555</cdr:x>
      <cdr:y>0.86396</cdr:y>
    </cdr:to>
    <cdr:sp macro="" textlink="Text!$BA$41">
      <cdr:nvSpPr>
        <cdr:cNvPr id="5" name="Textfeld 4">
          <a:extLst xmlns:a="http://schemas.openxmlformats.org/drawingml/2006/main">
            <a:ext uri="{FF2B5EF4-FFF2-40B4-BE49-F238E27FC236}">
              <a16:creationId xmlns:a16="http://schemas.microsoft.com/office/drawing/2014/main" id="{1CCC235C-EDEE-45DE-E34E-DC32973EEE96}"/>
            </a:ext>
          </a:extLst>
        </cdr:cNvPr>
        <cdr:cNvSpPr txBox="1">
          <a:spLocks xmlns:a="http://schemas.openxmlformats.org/drawingml/2006/main"/>
        </cdr:cNvSpPr>
      </cdr:nvSpPr>
      <cdr:spPr>
        <a:xfrm xmlns:a="http://schemas.openxmlformats.org/drawingml/2006/main">
          <a:off x="2664696" y="2785120"/>
          <a:ext cx="908740" cy="477450"/>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581FC96F-A9EC-4555-B6CE-58323BA68F9A}" type="TxLink">
            <a:rPr lang="en-US" sz="600" b="1" i="0" u="none" strike="noStrike" baseline="0">
              <a:solidFill>
                <a:srgbClr val="E30613"/>
              </a:solidFill>
              <a:latin typeface="Calibri"/>
              <a:ea typeface="Verdana" panose="020B0604030504040204" pitchFamily="34" charset="0"/>
              <a:cs typeface="Calibri"/>
            </a:rPr>
            <a:pPr marL="0" indent="0" algn="ctr"/>
            <a:t>WOHLBEFINDEN &amp; GESUNDHEIT</a:t>
          </a:fld>
          <a:endParaRPr lang="de-CH" sz="600" b="1" i="0" u="none" strike="noStrike" baseline="0">
            <a:solidFill>
              <a:srgbClr val="E30613"/>
            </a:solidFill>
            <a:latin typeface="Calibri"/>
            <a:ea typeface="Verdana" panose="020B0604030504040204" pitchFamily="34" charset="0"/>
            <a:cs typeface="Calibri"/>
          </a:endParaRPr>
        </a:p>
      </cdr:txBody>
    </cdr:sp>
  </cdr:relSizeAnchor>
  <cdr:relSizeAnchor xmlns:cdr="http://schemas.openxmlformats.org/drawingml/2006/chartDrawing">
    <cdr:from>
      <cdr:x>0.46279</cdr:x>
      <cdr:y>0.93327</cdr:y>
    </cdr:from>
    <cdr:to>
      <cdr:x>0.73094</cdr:x>
      <cdr:y>1</cdr:y>
    </cdr:to>
    <cdr:sp macro="" textlink="Text!$BA$42">
      <cdr:nvSpPr>
        <cdr:cNvPr id="6" name="Textfeld 5">
          <a:extLst xmlns:a="http://schemas.openxmlformats.org/drawingml/2006/main">
            <a:ext uri="{FF2B5EF4-FFF2-40B4-BE49-F238E27FC236}">
              <a16:creationId xmlns:a16="http://schemas.microsoft.com/office/drawing/2014/main" id="{8CE664D3-53F3-4CFC-216E-E73B2263A521}"/>
            </a:ext>
          </a:extLst>
        </cdr:cNvPr>
        <cdr:cNvSpPr txBox="1">
          <a:spLocks xmlns:a="http://schemas.openxmlformats.org/drawingml/2006/main"/>
        </cdr:cNvSpPr>
      </cdr:nvSpPr>
      <cdr:spPr>
        <a:xfrm xmlns:a="http://schemas.openxmlformats.org/drawingml/2006/main">
          <a:off x="1867479" y="3524298"/>
          <a:ext cx="1082048" cy="252000"/>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51A832BB-FE2D-458C-9D5A-B6FD1200214F}" type="TxLink">
            <a:rPr lang="en-US" sz="600" b="1" i="0" u="none" strike="noStrike">
              <a:solidFill>
                <a:srgbClr val="5DC4E1"/>
              </a:solidFill>
              <a:latin typeface="Calibri"/>
              <a:ea typeface="Verdana" panose="020B0604030504040204" pitchFamily="34" charset="0"/>
              <a:cs typeface="Calibri"/>
            </a:rPr>
            <a:pPr marL="0" indent="0" algn="ctr"/>
            <a:t>LEBENSZYKLUS</a:t>
          </a:fld>
          <a:endParaRPr lang="de-CH" sz="600" b="1" i="0" u="none" strike="noStrike">
            <a:solidFill>
              <a:srgbClr val="5DC4E1"/>
            </a:solidFill>
            <a:latin typeface="Calibri"/>
            <a:ea typeface="Verdana" panose="020B0604030504040204" pitchFamily="34" charset="0"/>
            <a:cs typeface="Calibri"/>
          </a:endParaRPr>
        </a:p>
      </cdr:txBody>
    </cdr:sp>
  </cdr:relSizeAnchor>
  <cdr:relSizeAnchor xmlns:cdr="http://schemas.openxmlformats.org/drawingml/2006/chartDrawing">
    <cdr:from>
      <cdr:x>0.19119</cdr:x>
      <cdr:y>0.93327</cdr:y>
    </cdr:from>
    <cdr:to>
      <cdr:x>0.60893</cdr:x>
      <cdr:y>1</cdr:y>
    </cdr:to>
    <cdr:sp macro="" textlink="Text!$BA$43">
      <cdr:nvSpPr>
        <cdr:cNvPr id="7" name="Textfeld 6">
          <a:extLst xmlns:a="http://schemas.openxmlformats.org/drawingml/2006/main">
            <a:ext uri="{FF2B5EF4-FFF2-40B4-BE49-F238E27FC236}">
              <a16:creationId xmlns:a16="http://schemas.microsoft.com/office/drawing/2014/main" id="{9A65E2F2-4D99-57E9-D614-46066D90E2CA}"/>
            </a:ext>
          </a:extLst>
        </cdr:cNvPr>
        <cdr:cNvSpPr txBox="1">
          <a:spLocks xmlns:a="http://schemas.openxmlformats.org/drawingml/2006/main"/>
        </cdr:cNvSpPr>
      </cdr:nvSpPr>
      <cdr:spPr>
        <a:xfrm xmlns:a="http://schemas.openxmlformats.org/drawingml/2006/main">
          <a:off x="771486" y="3524298"/>
          <a:ext cx="1685697" cy="252000"/>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98923AB8-781F-4276-B150-232BAD1B5F5B}" type="TxLink">
            <a:rPr lang="en-US" sz="600" b="1" i="0" u="none" strike="noStrike">
              <a:solidFill>
                <a:srgbClr val="5DC4E1"/>
              </a:solidFill>
              <a:latin typeface="Calibri"/>
              <a:ea typeface="Verdana" panose="020B0604030504040204" pitchFamily="34" charset="0"/>
              <a:cs typeface="Calibri"/>
            </a:rPr>
            <a:pPr marL="0" indent="0" algn="ctr"/>
            <a:t>NUTZBARKEIT</a:t>
          </a:fld>
          <a:endParaRPr lang="de-CH" sz="600" b="1" i="0" u="none" strike="noStrike">
            <a:solidFill>
              <a:srgbClr val="5DC4E1"/>
            </a:solidFill>
            <a:latin typeface="Calibri"/>
            <a:ea typeface="Verdana" panose="020B0604030504040204" pitchFamily="34" charset="0"/>
            <a:cs typeface="Calibri"/>
          </a:endParaRPr>
        </a:p>
      </cdr:txBody>
    </cdr:sp>
  </cdr:relSizeAnchor>
  <cdr:relSizeAnchor xmlns:cdr="http://schemas.openxmlformats.org/drawingml/2006/chartDrawing">
    <cdr:from>
      <cdr:x>0.09225</cdr:x>
      <cdr:y>0.75009</cdr:y>
    </cdr:from>
    <cdr:to>
      <cdr:x>0.3256</cdr:x>
      <cdr:y>0.91343</cdr:y>
    </cdr:to>
    <cdr:sp macro="" textlink="Text!$BA$47">
      <cdr:nvSpPr>
        <cdr:cNvPr id="8" name="Textfeld 7">
          <a:extLst xmlns:a="http://schemas.openxmlformats.org/drawingml/2006/main">
            <a:ext uri="{FF2B5EF4-FFF2-40B4-BE49-F238E27FC236}">
              <a16:creationId xmlns:a16="http://schemas.microsoft.com/office/drawing/2014/main" id="{0909AE71-7538-6AFC-85EB-4085E162147D}"/>
            </a:ext>
          </a:extLst>
        </cdr:cNvPr>
        <cdr:cNvSpPr txBox="1">
          <a:spLocks xmlns:a="http://schemas.openxmlformats.org/drawingml/2006/main"/>
        </cdr:cNvSpPr>
      </cdr:nvSpPr>
      <cdr:spPr>
        <a:xfrm xmlns:a="http://schemas.openxmlformats.org/drawingml/2006/main">
          <a:off x="372255" y="2832567"/>
          <a:ext cx="941622" cy="616813"/>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8702686-164A-4774-9F78-5A9A5075FA16}" type="TxLink">
            <a:rPr lang="en-US" sz="600" b="1" i="0" u="none" strike="noStrike">
              <a:solidFill>
                <a:srgbClr val="76B729"/>
              </a:solidFill>
              <a:latin typeface="Calibri"/>
              <a:ea typeface="Calibri"/>
              <a:cs typeface="Calibri"/>
            </a:rPr>
            <a:pPr algn="ctr"/>
            <a:t>ENERGIE</a:t>
          </a:fld>
          <a:endParaRPr lang="de-CH" sz="600" b="1">
            <a:solidFill>
              <a:srgbClr val="76B729"/>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0.02389</cdr:x>
      <cdr:y>0.34142</cdr:y>
    </cdr:from>
    <cdr:to>
      <cdr:x>0.30282</cdr:x>
      <cdr:y>0.50259</cdr:y>
    </cdr:to>
    <cdr:sp macro="" textlink="Text!$BA$48">
      <cdr:nvSpPr>
        <cdr:cNvPr id="11" name="Textfeld 8">
          <a:extLst xmlns:a="http://schemas.openxmlformats.org/drawingml/2006/main">
            <a:ext uri="{FF2B5EF4-FFF2-40B4-BE49-F238E27FC236}">
              <a16:creationId xmlns:a16="http://schemas.microsoft.com/office/drawing/2014/main" id="{1AFD2D56-311B-D637-032F-56412798ED14}"/>
            </a:ext>
          </a:extLst>
        </cdr:cNvPr>
        <cdr:cNvSpPr txBox="1">
          <a:spLocks xmlns:a="http://schemas.openxmlformats.org/drawingml/2006/main"/>
        </cdr:cNvSpPr>
      </cdr:nvSpPr>
      <cdr:spPr>
        <a:xfrm xmlns:a="http://schemas.openxmlformats.org/drawingml/2006/main">
          <a:off x="93918" y="1330708"/>
          <a:ext cx="1096455" cy="628164"/>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0AFBB97-3FE8-4B8E-AE31-674CD683FCF4}" type="TxLink">
            <a:rPr lang="en-US" sz="600" b="1" i="0" u="none" strike="noStrike">
              <a:solidFill>
                <a:srgbClr val="76B729"/>
              </a:solidFill>
              <a:latin typeface="Calibri"/>
              <a:ea typeface="Calibri"/>
              <a:cs typeface="Calibri"/>
            </a:rPr>
            <a:pPr algn="ctr"/>
            <a:t>RESSOURCENSCHONUNG &amp; UMWELTSCHUTZ</a:t>
          </a:fld>
          <a:endParaRPr lang="de-CH" sz="600" b="1">
            <a:solidFill>
              <a:srgbClr val="76B729"/>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0.17141</cdr:x>
      <cdr:y>0.11577</cdr:y>
    </cdr:from>
    <cdr:to>
      <cdr:x>0.45253</cdr:x>
      <cdr:y>0.2877</cdr:y>
    </cdr:to>
    <cdr:sp macro="" textlink="">
      <cdr:nvSpPr>
        <cdr:cNvPr id="12" name="Textfeld 9">
          <a:extLst xmlns:a="http://schemas.openxmlformats.org/drawingml/2006/main">
            <a:ext uri="{FF2B5EF4-FFF2-40B4-BE49-F238E27FC236}">
              <a16:creationId xmlns:a16="http://schemas.microsoft.com/office/drawing/2014/main" id="{618DEDA5-2186-2855-A0FB-70FD4FAC221A}"/>
            </a:ext>
          </a:extLst>
        </cdr:cNvPr>
        <cdr:cNvSpPr txBox="1">
          <a:spLocks xmlns:a="http://schemas.openxmlformats.org/drawingml/2006/main"/>
        </cdr:cNvSpPr>
      </cdr:nvSpPr>
      <cdr:spPr>
        <a:xfrm xmlns:a="http://schemas.openxmlformats.org/drawingml/2006/main">
          <a:off x="691683" y="437164"/>
          <a:ext cx="1134403" cy="649277"/>
        </a:xfrm>
        <a:prstGeom xmlns:a="http://schemas.openxmlformats.org/drawingml/2006/main" prst="rect">
          <a:avLst/>
        </a:prstGeom>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71D2E67E-6689-4CAC-BBE7-57D96BD9F3BB}" type="TxLink">
            <a:rPr lang="en-US" sz="600" b="1" i="0" u="none" strike="noStrike">
              <a:solidFill>
                <a:srgbClr val="76B729"/>
              </a:solidFill>
              <a:latin typeface="+mn-lt"/>
              <a:ea typeface="Verdana" panose="020B0604030504040204" pitchFamily="34" charset="0"/>
              <a:cs typeface="Arial" panose="020B0604020202020204" pitchFamily="34" charset="0"/>
            </a:rPr>
            <a:pPr marL="0" indent="0" algn="ctr"/>
            <a:t>NATUR &amp; LANDSCHAFT</a:t>
          </a:fld>
          <a:endParaRPr lang="de-CH" sz="600" b="1" i="0" u="none" strike="noStrike">
            <a:solidFill>
              <a:srgbClr val="76B729"/>
            </a:solidFill>
            <a:latin typeface="+mn-lt"/>
            <a:ea typeface="Verdana" panose="020B0604030504040204" pitchFamily="34" charset="0"/>
            <a:cs typeface="Arial" panose="020B0604020202020204"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13</xdr:col>
      <xdr:colOff>614795</xdr:colOff>
      <xdr:row>394</xdr:row>
      <xdr:rowOff>55418</xdr:rowOff>
    </xdr:from>
    <xdr:to>
      <xdr:col>15</xdr:col>
      <xdr:colOff>309995</xdr:colOff>
      <xdr:row>403</xdr:row>
      <xdr:rowOff>36368</xdr:rowOff>
    </xdr:to>
    <xdr:graphicFrame macro="">
      <xdr:nvGraphicFramePr>
        <xdr:cNvPr id="8" name="Diagramm 7">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218605</xdr:colOff>
      <xdr:row>359</xdr:row>
      <xdr:rowOff>58129</xdr:rowOff>
    </xdr:from>
    <xdr:to>
      <xdr:col>15</xdr:col>
      <xdr:colOff>683369</xdr:colOff>
      <xdr:row>363</xdr:row>
      <xdr:rowOff>37188</xdr:rowOff>
    </xdr:to>
    <xdr:graphicFrame macro="">
      <xdr:nvGraphicFramePr>
        <xdr:cNvPr id="48" name="Diagramm 47">
          <a:extLst>
            <a:ext uri="{FF2B5EF4-FFF2-40B4-BE49-F238E27FC236}">
              <a16:creationId xmlns:a16="http://schemas.microsoft.com/office/drawing/2014/main" id="{00000000-0008-0000-05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229420</xdr:colOff>
      <xdr:row>337</xdr:row>
      <xdr:rowOff>24511</xdr:rowOff>
    </xdr:from>
    <xdr:to>
      <xdr:col>15</xdr:col>
      <xdr:colOff>694184</xdr:colOff>
      <xdr:row>343</xdr:row>
      <xdr:rowOff>8041</xdr:rowOff>
    </xdr:to>
    <xdr:graphicFrame macro="">
      <xdr:nvGraphicFramePr>
        <xdr:cNvPr id="251" name="Diagramm 250">
          <a:extLst>
            <a:ext uri="{FF2B5EF4-FFF2-40B4-BE49-F238E27FC236}">
              <a16:creationId xmlns:a16="http://schemas.microsoft.com/office/drawing/2014/main" id="{00000000-0008-0000-0500-0000F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269509</xdr:colOff>
      <xdr:row>381</xdr:row>
      <xdr:rowOff>86593</xdr:rowOff>
    </xdr:from>
    <xdr:to>
      <xdr:col>15</xdr:col>
      <xdr:colOff>734273</xdr:colOff>
      <xdr:row>383</xdr:row>
      <xdr:rowOff>76122</xdr:rowOff>
    </xdr:to>
    <xdr:graphicFrame macro="">
      <xdr:nvGraphicFramePr>
        <xdr:cNvPr id="269" name="Diagramm 268">
          <a:extLst>
            <a:ext uri="{FF2B5EF4-FFF2-40B4-BE49-F238E27FC236}">
              <a16:creationId xmlns:a16="http://schemas.microsoft.com/office/drawing/2014/main" id="{00000000-0008-0000-0500-00000D0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270910</xdr:colOff>
      <xdr:row>383</xdr:row>
      <xdr:rowOff>112077</xdr:rowOff>
    </xdr:from>
    <xdr:to>
      <xdr:col>15</xdr:col>
      <xdr:colOff>735674</xdr:colOff>
      <xdr:row>385</xdr:row>
      <xdr:rowOff>101606</xdr:rowOff>
    </xdr:to>
    <xdr:graphicFrame macro="">
      <xdr:nvGraphicFramePr>
        <xdr:cNvPr id="270" name="Diagramm 269">
          <a:extLst>
            <a:ext uri="{FF2B5EF4-FFF2-40B4-BE49-F238E27FC236}">
              <a16:creationId xmlns:a16="http://schemas.microsoft.com/office/drawing/2014/main" id="{00000000-0008-0000-0500-00000E0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269422</xdr:colOff>
      <xdr:row>385</xdr:row>
      <xdr:rowOff>180405</xdr:rowOff>
    </xdr:from>
    <xdr:to>
      <xdr:col>15</xdr:col>
      <xdr:colOff>734186</xdr:colOff>
      <xdr:row>387</xdr:row>
      <xdr:rowOff>169935</xdr:rowOff>
    </xdr:to>
    <xdr:graphicFrame macro="">
      <xdr:nvGraphicFramePr>
        <xdr:cNvPr id="271" name="Diagramm 270">
          <a:extLst>
            <a:ext uri="{FF2B5EF4-FFF2-40B4-BE49-F238E27FC236}">
              <a16:creationId xmlns:a16="http://schemas.microsoft.com/office/drawing/2014/main" id="{00000000-0008-0000-0500-00000F0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190299</xdr:colOff>
      <xdr:row>348</xdr:row>
      <xdr:rowOff>28490</xdr:rowOff>
    </xdr:from>
    <xdr:to>
      <xdr:col>15</xdr:col>
      <xdr:colOff>655063</xdr:colOff>
      <xdr:row>353</xdr:row>
      <xdr:rowOff>191314</xdr:rowOff>
    </xdr:to>
    <xdr:graphicFrame macro="">
      <xdr:nvGraphicFramePr>
        <xdr:cNvPr id="275" name="Diagramm 274">
          <a:extLst>
            <a:ext uri="{FF2B5EF4-FFF2-40B4-BE49-F238E27FC236}">
              <a16:creationId xmlns:a16="http://schemas.microsoft.com/office/drawing/2014/main" id="{00000000-0008-0000-0500-0000130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345280</xdr:colOff>
      <xdr:row>426</xdr:row>
      <xdr:rowOff>64792</xdr:rowOff>
    </xdr:from>
    <xdr:to>
      <xdr:col>14</xdr:col>
      <xdr:colOff>647700</xdr:colOff>
      <xdr:row>437</xdr:row>
      <xdr:rowOff>92647</xdr:rowOff>
    </xdr:to>
    <xdr:graphicFrame macro="">
      <xdr:nvGraphicFramePr>
        <xdr:cNvPr id="14" name="Diagramm 7">
          <a:extLst>
            <a:ext uri="{FF2B5EF4-FFF2-40B4-BE49-F238E27FC236}">
              <a16:creationId xmlns:a16="http://schemas.microsoft.com/office/drawing/2014/main" id="{00000000-0008-0000-05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845345</xdr:colOff>
      <xdr:row>420</xdr:row>
      <xdr:rowOff>11906</xdr:rowOff>
    </xdr:from>
    <xdr:to>
      <xdr:col>13</xdr:col>
      <xdr:colOff>1087826</xdr:colOff>
      <xdr:row>421</xdr:row>
      <xdr:rowOff>146499</xdr:rowOff>
    </xdr:to>
    <xdr:graphicFrame macro="">
      <xdr:nvGraphicFramePr>
        <xdr:cNvPr id="15" name="Diagramm 268">
          <a:extLst>
            <a:ext uri="{FF2B5EF4-FFF2-40B4-BE49-F238E27FC236}">
              <a16:creationId xmlns:a16="http://schemas.microsoft.com/office/drawing/2014/main" id="{00000000-0008-0000-05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xdr:col>
      <xdr:colOff>166687</xdr:colOff>
      <xdr:row>410</xdr:row>
      <xdr:rowOff>0</xdr:rowOff>
    </xdr:from>
    <xdr:to>
      <xdr:col>14</xdr:col>
      <xdr:colOff>878542</xdr:colOff>
      <xdr:row>414</xdr:row>
      <xdr:rowOff>139245</xdr:rowOff>
    </xdr:to>
    <xdr:graphicFrame macro="">
      <xdr:nvGraphicFramePr>
        <xdr:cNvPr id="18" name="Diagramm 39">
          <a:extLst>
            <a:ext uri="{FF2B5EF4-FFF2-40B4-BE49-F238E27FC236}">
              <a16:creationId xmlns:a16="http://schemas.microsoft.com/office/drawing/2014/main" id="{00000000-0008-0000-05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14</xdr:col>
      <xdr:colOff>272472</xdr:colOff>
      <xdr:row>388</xdr:row>
      <xdr:rowOff>73930</xdr:rowOff>
    </xdr:from>
    <xdr:to>
      <xdr:col>15</xdr:col>
      <xdr:colOff>737236</xdr:colOff>
      <xdr:row>390</xdr:row>
      <xdr:rowOff>63459</xdr:rowOff>
    </xdr:to>
    <xdr:graphicFrame macro="">
      <xdr:nvGraphicFramePr>
        <xdr:cNvPr id="13" name="Diagramm 270">
          <a:extLst>
            <a:ext uri="{FF2B5EF4-FFF2-40B4-BE49-F238E27FC236}">
              <a16:creationId xmlns:a16="http://schemas.microsoft.com/office/drawing/2014/main" id="{3A38B57A-0FA5-48BA-A4CD-6E5E9DA92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0</xdr:colOff>
      <xdr:row>439</xdr:row>
      <xdr:rowOff>0</xdr:rowOff>
    </xdr:from>
    <xdr:to>
      <xdr:col>15</xdr:col>
      <xdr:colOff>242481</xdr:colOff>
      <xdr:row>440</xdr:row>
      <xdr:rowOff>134593</xdr:rowOff>
    </xdr:to>
    <xdr:graphicFrame macro="">
      <xdr:nvGraphicFramePr>
        <xdr:cNvPr id="17" name="Diagramm 268">
          <a:extLst>
            <a:ext uri="{FF2B5EF4-FFF2-40B4-BE49-F238E27FC236}">
              <a16:creationId xmlns:a16="http://schemas.microsoft.com/office/drawing/2014/main" id="{3A1BE611-487C-4AA8-B6AD-5251E4BDD1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14</xdr:col>
      <xdr:colOff>0</xdr:colOff>
      <xdr:row>441</xdr:row>
      <xdr:rowOff>0</xdr:rowOff>
    </xdr:from>
    <xdr:to>
      <xdr:col>15</xdr:col>
      <xdr:colOff>242481</xdr:colOff>
      <xdr:row>442</xdr:row>
      <xdr:rowOff>134593</xdr:rowOff>
    </xdr:to>
    <xdr:graphicFrame macro="">
      <xdr:nvGraphicFramePr>
        <xdr:cNvPr id="19" name="Diagramm 268">
          <a:extLst>
            <a:ext uri="{FF2B5EF4-FFF2-40B4-BE49-F238E27FC236}">
              <a16:creationId xmlns:a16="http://schemas.microsoft.com/office/drawing/2014/main" id="{F6AF0365-21EF-499E-92A1-5F8094730D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14</xdr:col>
      <xdr:colOff>0</xdr:colOff>
      <xdr:row>443</xdr:row>
      <xdr:rowOff>0</xdr:rowOff>
    </xdr:from>
    <xdr:to>
      <xdr:col>15</xdr:col>
      <xdr:colOff>242481</xdr:colOff>
      <xdr:row>444</xdr:row>
      <xdr:rowOff>134593</xdr:rowOff>
    </xdr:to>
    <xdr:graphicFrame macro="">
      <xdr:nvGraphicFramePr>
        <xdr:cNvPr id="20" name="Diagramm 268">
          <a:extLst>
            <a:ext uri="{FF2B5EF4-FFF2-40B4-BE49-F238E27FC236}">
              <a16:creationId xmlns:a16="http://schemas.microsoft.com/office/drawing/2014/main" id="{94B50B90-FDD2-4A00-BFF6-2816535902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0</xdr:colOff>
      <xdr:row>445</xdr:row>
      <xdr:rowOff>0</xdr:rowOff>
    </xdr:from>
    <xdr:to>
      <xdr:col>15</xdr:col>
      <xdr:colOff>242481</xdr:colOff>
      <xdr:row>446</xdr:row>
      <xdr:rowOff>134593</xdr:rowOff>
    </xdr:to>
    <xdr:graphicFrame macro="">
      <xdr:nvGraphicFramePr>
        <xdr:cNvPr id="21" name="Diagramm 268">
          <a:extLst>
            <a:ext uri="{FF2B5EF4-FFF2-40B4-BE49-F238E27FC236}">
              <a16:creationId xmlns:a16="http://schemas.microsoft.com/office/drawing/2014/main" id="{E8935DBE-592D-42B9-9E63-3E582D94EE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13</xdr:col>
      <xdr:colOff>0</xdr:colOff>
      <xdr:row>371</xdr:row>
      <xdr:rowOff>0</xdr:rowOff>
    </xdr:from>
    <xdr:to>
      <xdr:col>14</xdr:col>
      <xdr:colOff>481450</xdr:colOff>
      <xdr:row>373</xdr:row>
      <xdr:rowOff>38274</xdr:rowOff>
    </xdr:to>
    <xdr:graphicFrame macro="">
      <xdr:nvGraphicFramePr>
        <xdr:cNvPr id="26" name="Diagramm 268">
          <a:extLst>
            <a:ext uri="{FF2B5EF4-FFF2-40B4-BE49-F238E27FC236}">
              <a16:creationId xmlns:a16="http://schemas.microsoft.com/office/drawing/2014/main" id="{67F4F426-1902-4E18-9CDF-A0D7E66E4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1082266</xdr:colOff>
      <xdr:row>373</xdr:row>
      <xdr:rowOff>49696</xdr:rowOff>
    </xdr:from>
    <xdr:to>
      <xdr:col>14</xdr:col>
      <xdr:colOff>478380</xdr:colOff>
      <xdr:row>375</xdr:row>
      <xdr:rowOff>89346</xdr:rowOff>
    </xdr:to>
    <xdr:graphicFrame macro="">
      <xdr:nvGraphicFramePr>
        <xdr:cNvPr id="27" name="Diagramm 268">
          <a:extLst>
            <a:ext uri="{FF2B5EF4-FFF2-40B4-BE49-F238E27FC236}">
              <a16:creationId xmlns:a16="http://schemas.microsoft.com/office/drawing/2014/main" id="{00913850-F668-4F54-959C-99AA42BE2B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13</xdr:col>
      <xdr:colOff>0</xdr:colOff>
      <xdr:row>375</xdr:row>
      <xdr:rowOff>100955</xdr:rowOff>
    </xdr:from>
    <xdr:to>
      <xdr:col>14</xdr:col>
      <xdr:colOff>481057</xdr:colOff>
      <xdr:row>377</xdr:row>
      <xdr:rowOff>139434</xdr:rowOff>
    </xdr:to>
    <xdr:graphicFrame macro="">
      <xdr:nvGraphicFramePr>
        <xdr:cNvPr id="28" name="Diagramm 268">
          <a:extLst>
            <a:ext uri="{FF2B5EF4-FFF2-40B4-BE49-F238E27FC236}">
              <a16:creationId xmlns:a16="http://schemas.microsoft.com/office/drawing/2014/main" id="{5F1DEE0D-A6C5-4C84-AF22-1E745C22B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26</xdr:col>
      <xdr:colOff>132000</xdr:colOff>
      <xdr:row>337</xdr:row>
      <xdr:rowOff>24511</xdr:rowOff>
    </xdr:from>
    <xdr:to>
      <xdr:col>27</xdr:col>
      <xdr:colOff>708500</xdr:colOff>
      <xdr:row>344</xdr:row>
      <xdr:rowOff>2886</xdr:rowOff>
    </xdr:to>
    <xdr:graphicFrame macro="">
      <xdr:nvGraphicFramePr>
        <xdr:cNvPr id="23" name="DiagrammGesellschaft_Klima">
          <a:extLst>
            <a:ext uri="{FF2B5EF4-FFF2-40B4-BE49-F238E27FC236}">
              <a16:creationId xmlns:a16="http://schemas.microsoft.com/office/drawing/2014/main" id="{1A49D146-8D7A-8C2A-8B8E-86BCDD6203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20</xdr:col>
      <xdr:colOff>309617</xdr:colOff>
      <xdr:row>337</xdr:row>
      <xdr:rowOff>126978</xdr:rowOff>
    </xdr:from>
    <xdr:to>
      <xdr:col>21</xdr:col>
      <xdr:colOff>880344</xdr:colOff>
      <xdr:row>342</xdr:row>
      <xdr:rowOff>140705</xdr:rowOff>
    </xdr:to>
    <xdr:graphicFrame macro="">
      <xdr:nvGraphicFramePr>
        <xdr:cNvPr id="24" name="Diagramm 23">
          <a:extLst>
            <a:ext uri="{FF2B5EF4-FFF2-40B4-BE49-F238E27FC236}">
              <a16:creationId xmlns:a16="http://schemas.microsoft.com/office/drawing/2014/main" id="{E058045D-C85E-6B35-279D-B6F4B7415D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20</xdr:col>
      <xdr:colOff>309617</xdr:colOff>
      <xdr:row>334</xdr:row>
      <xdr:rowOff>12819</xdr:rowOff>
    </xdr:from>
    <xdr:to>
      <xdr:col>21</xdr:col>
      <xdr:colOff>880344</xdr:colOff>
      <xdr:row>337</xdr:row>
      <xdr:rowOff>0</xdr:rowOff>
    </xdr:to>
    <xdr:graphicFrame macro="">
      <xdr:nvGraphicFramePr>
        <xdr:cNvPr id="33" name="Diagramm 32">
          <a:extLst>
            <a:ext uri="{FF2B5EF4-FFF2-40B4-BE49-F238E27FC236}">
              <a16:creationId xmlns:a16="http://schemas.microsoft.com/office/drawing/2014/main" id="{FBDBB1D9-BDE9-1A8B-A1B5-65E3624302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26</xdr:col>
      <xdr:colOff>132000</xdr:colOff>
      <xdr:row>332</xdr:row>
      <xdr:rowOff>154375</xdr:rowOff>
    </xdr:from>
    <xdr:to>
      <xdr:col>27</xdr:col>
      <xdr:colOff>708500</xdr:colOff>
      <xdr:row>335</xdr:row>
      <xdr:rowOff>122875</xdr:rowOff>
    </xdr:to>
    <xdr:graphicFrame macro="">
      <xdr:nvGraphicFramePr>
        <xdr:cNvPr id="34" name="DiagrammGesellschaft_Klima">
          <a:extLst>
            <a:ext uri="{FF2B5EF4-FFF2-40B4-BE49-F238E27FC236}">
              <a16:creationId xmlns:a16="http://schemas.microsoft.com/office/drawing/2014/main" id="{361BA0B8-C3CA-8656-7205-F39CBEB530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20</xdr:col>
      <xdr:colOff>309617</xdr:colOff>
      <xdr:row>343</xdr:row>
      <xdr:rowOff>2148</xdr:rowOff>
    </xdr:from>
    <xdr:to>
      <xdr:col>21</xdr:col>
      <xdr:colOff>880344</xdr:colOff>
      <xdr:row>346</xdr:row>
      <xdr:rowOff>0</xdr:rowOff>
    </xdr:to>
    <xdr:graphicFrame macro="">
      <xdr:nvGraphicFramePr>
        <xdr:cNvPr id="35" name="Diagramm 34">
          <a:extLst>
            <a:ext uri="{FF2B5EF4-FFF2-40B4-BE49-F238E27FC236}">
              <a16:creationId xmlns:a16="http://schemas.microsoft.com/office/drawing/2014/main" id="{1518BEEE-4381-41DB-BB82-938400DBE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26</xdr:col>
      <xdr:colOff>132000</xdr:colOff>
      <xdr:row>344</xdr:row>
      <xdr:rowOff>47375</xdr:rowOff>
    </xdr:from>
    <xdr:to>
      <xdr:col>27</xdr:col>
      <xdr:colOff>708500</xdr:colOff>
      <xdr:row>347</xdr:row>
      <xdr:rowOff>15875</xdr:rowOff>
    </xdr:to>
    <xdr:graphicFrame macro="">
      <xdr:nvGraphicFramePr>
        <xdr:cNvPr id="36" name="DiagrammGesellschaft_Klima">
          <a:extLst>
            <a:ext uri="{FF2B5EF4-FFF2-40B4-BE49-F238E27FC236}">
              <a16:creationId xmlns:a16="http://schemas.microsoft.com/office/drawing/2014/main" id="{97439DB5-335D-4497-A641-CAB3C668C7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20</xdr:col>
      <xdr:colOff>218605</xdr:colOff>
      <xdr:row>348</xdr:row>
      <xdr:rowOff>28490</xdr:rowOff>
    </xdr:from>
    <xdr:to>
      <xdr:col>21</xdr:col>
      <xdr:colOff>795105</xdr:colOff>
      <xdr:row>353</xdr:row>
      <xdr:rowOff>47990</xdr:rowOff>
    </xdr:to>
    <xdr:graphicFrame macro="">
      <xdr:nvGraphicFramePr>
        <xdr:cNvPr id="38" name="Diagramm 37">
          <a:extLst>
            <a:ext uri="{FF2B5EF4-FFF2-40B4-BE49-F238E27FC236}">
              <a16:creationId xmlns:a16="http://schemas.microsoft.com/office/drawing/2014/main" id="{877A2911-516B-8E62-BBFD-95DAF78086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26</xdr:col>
      <xdr:colOff>132000</xdr:colOff>
      <xdr:row>348</xdr:row>
      <xdr:rowOff>61148</xdr:rowOff>
    </xdr:from>
    <xdr:to>
      <xdr:col>27</xdr:col>
      <xdr:colOff>659799</xdr:colOff>
      <xdr:row>353</xdr:row>
      <xdr:rowOff>17148</xdr:rowOff>
    </xdr:to>
    <xdr:graphicFrame macro="">
      <xdr:nvGraphicFramePr>
        <xdr:cNvPr id="39" name="Diagramm 38">
          <a:extLst>
            <a:ext uri="{FF2B5EF4-FFF2-40B4-BE49-F238E27FC236}">
              <a16:creationId xmlns:a16="http://schemas.microsoft.com/office/drawing/2014/main" id="{48B2150A-5266-8E0F-1F78-2CAF2AD5CA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26</xdr:col>
      <xdr:colOff>225550</xdr:colOff>
      <xdr:row>363</xdr:row>
      <xdr:rowOff>176047</xdr:rowOff>
    </xdr:from>
    <xdr:to>
      <xdr:col>27</xdr:col>
      <xdr:colOff>778277</xdr:colOff>
      <xdr:row>367</xdr:row>
      <xdr:rowOff>38956</xdr:rowOff>
    </xdr:to>
    <xdr:graphicFrame macro="">
      <xdr:nvGraphicFramePr>
        <xdr:cNvPr id="40" name="Diagramm 39">
          <a:extLst>
            <a:ext uri="{FF2B5EF4-FFF2-40B4-BE49-F238E27FC236}">
              <a16:creationId xmlns:a16="http://schemas.microsoft.com/office/drawing/2014/main" id="{DC8CD188-2679-E36A-EAE6-9BB96CCB2E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20</xdr:col>
      <xdr:colOff>246284</xdr:colOff>
      <xdr:row>360</xdr:row>
      <xdr:rowOff>0</xdr:rowOff>
    </xdr:from>
    <xdr:to>
      <xdr:col>21</xdr:col>
      <xdr:colOff>799011</xdr:colOff>
      <xdr:row>363</xdr:row>
      <xdr:rowOff>95182</xdr:rowOff>
    </xdr:to>
    <xdr:graphicFrame macro="">
      <xdr:nvGraphicFramePr>
        <xdr:cNvPr id="41" name="Diagramm 40">
          <a:extLst>
            <a:ext uri="{FF2B5EF4-FFF2-40B4-BE49-F238E27FC236}">
              <a16:creationId xmlns:a16="http://schemas.microsoft.com/office/drawing/2014/main" id="{5D1D929C-6CA4-5FF4-DA4F-E4D55490BC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20</xdr:col>
      <xdr:colOff>230976</xdr:colOff>
      <xdr:row>382</xdr:row>
      <xdr:rowOff>173183</xdr:rowOff>
    </xdr:from>
    <xdr:to>
      <xdr:col>21</xdr:col>
      <xdr:colOff>693703</xdr:colOff>
      <xdr:row>384</xdr:row>
      <xdr:rowOff>158637</xdr:rowOff>
    </xdr:to>
    <xdr:graphicFrame macro="">
      <xdr:nvGraphicFramePr>
        <xdr:cNvPr id="42" name="Diagramm 41">
          <a:extLst>
            <a:ext uri="{FF2B5EF4-FFF2-40B4-BE49-F238E27FC236}">
              <a16:creationId xmlns:a16="http://schemas.microsoft.com/office/drawing/2014/main" id="{95E488A0-46D2-F11B-315F-D22107ECA7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26</xdr:col>
      <xdr:colOff>224378</xdr:colOff>
      <xdr:row>387</xdr:row>
      <xdr:rowOff>147920</xdr:rowOff>
    </xdr:from>
    <xdr:to>
      <xdr:col>27</xdr:col>
      <xdr:colOff>795105</xdr:colOff>
      <xdr:row>389</xdr:row>
      <xdr:rowOff>79375</xdr:rowOff>
    </xdr:to>
    <xdr:graphicFrame macro="">
      <xdr:nvGraphicFramePr>
        <xdr:cNvPr id="43" name="Diagramm 42">
          <a:extLst>
            <a:ext uri="{FF2B5EF4-FFF2-40B4-BE49-F238E27FC236}">
              <a16:creationId xmlns:a16="http://schemas.microsoft.com/office/drawing/2014/main" id="{EF6426D6-80EE-656C-F9F4-FBDD7E076E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19</xdr:col>
      <xdr:colOff>614795</xdr:colOff>
      <xdr:row>394</xdr:row>
      <xdr:rowOff>55418</xdr:rowOff>
    </xdr:from>
    <xdr:to>
      <xdr:col>21</xdr:col>
      <xdr:colOff>309995</xdr:colOff>
      <xdr:row>403</xdr:row>
      <xdr:rowOff>36368</xdr:rowOff>
    </xdr:to>
    <xdr:graphicFrame macro="">
      <xdr:nvGraphicFramePr>
        <xdr:cNvPr id="44" name="Diagramm 43">
          <a:extLst>
            <a:ext uri="{FF2B5EF4-FFF2-40B4-BE49-F238E27FC236}">
              <a16:creationId xmlns:a16="http://schemas.microsoft.com/office/drawing/2014/main" id="{536EA71A-709C-4788-A31D-BEA7D431BB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26</xdr:col>
      <xdr:colOff>218605</xdr:colOff>
      <xdr:row>381</xdr:row>
      <xdr:rowOff>49380</xdr:rowOff>
    </xdr:from>
    <xdr:to>
      <xdr:col>27</xdr:col>
      <xdr:colOff>789332</xdr:colOff>
      <xdr:row>382</xdr:row>
      <xdr:rowOff>171334</xdr:rowOff>
    </xdr:to>
    <xdr:graphicFrame macro="">
      <xdr:nvGraphicFramePr>
        <xdr:cNvPr id="45" name="Diagramm 44">
          <a:extLst>
            <a:ext uri="{FF2B5EF4-FFF2-40B4-BE49-F238E27FC236}">
              <a16:creationId xmlns:a16="http://schemas.microsoft.com/office/drawing/2014/main" id="{42467E5F-5038-4902-AC23-6DD3D04AE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26</xdr:col>
      <xdr:colOff>218605</xdr:colOff>
      <xdr:row>383</xdr:row>
      <xdr:rowOff>68546</xdr:rowOff>
    </xdr:from>
    <xdr:to>
      <xdr:col>27</xdr:col>
      <xdr:colOff>789332</xdr:colOff>
      <xdr:row>385</xdr:row>
      <xdr:rowOff>0</xdr:rowOff>
    </xdr:to>
    <xdr:graphicFrame macro="">
      <xdr:nvGraphicFramePr>
        <xdr:cNvPr id="46" name="Diagramm 45">
          <a:extLst>
            <a:ext uri="{FF2B5EF4-FFF2-40B4-BE49-F238E27FC236}">
              <a16:creationId xmlns:a16="http://schemas.microsoft.com/office/drawing/2014/main" id="{3843E91A-F63C-975C-C2FF-1F89BF011C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26</xdr:col>
      <xdr:colOff>224378</xdr:colOff>
      <xdr:row>385</xdr:row>
      <xdr:rowOff>78649</xdr:rowOff>
    </xdr:from>
    <xdr:to>
      <xdr:col>27</xdr:col>
      <xdr:colOff>795105</xdr:colOff>
      <xdr:row>387</xdr:row>
      <xdr:rowOff>10104</xdr:rowOff>
    </xdr:to>
    <xdr:graphicFrame macro="">
      <xdr:nvGraphicFramePr>
        <xdr:cNvPr id="47" name="Diagramm 46">
          <a:extLst>
            <a:ext uri="{FF2B5EF4-FFF2-40B4-BE49-F238E27FC236}">
              <a16:creationId xmlns:a16="http://schemas.microsoft.com/office/drawing/2014/main" id="{2979E9BD-DF37-6176-826A-79EAD635EC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20</xdr:col>
      <xdr:colOff>288703</xdr:colOff>
      <xdr:row>386</xdr:row>
      <xdr:rowOff>160909</xdr:rowOff>
    </xdr:from>
    <xdr:to>
      <xdr:col>21</xdr:col>
      <xdr:colOff>750853</xdr:colOff>
      <xdr:row>388</xdr:row>
      <xdr:rowOff>157909</xdr:rowOff>
    </xdr:to>
    <xdr:graphicFrame macro="">
      <xdr:nvGraphicFramePr>
        <xdr:cNvPr id="49" name="Diagramm 48">
          <a:extLst>
            <a:ext uri="{FF2B5EF4-FFF2-40B4-BE49-F238E27FC236}">
              <a16:creationId xmlns:a16="http://schemas.microsoft.com/office/drawing/2014/main" id="{D6D0A4A0-58BE-321E-A773-821F8131C1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20</xdr:col>
      <xdr:colOff>298072</xdr:colOff>
      <xdr:row>385</xdr:row>
      <xdr:rowOff>10818</xdr:rowOff>
    </xdr:from>
    <xdr:to>
      <xdr:col>21</xdr:col>
      <xdr:colOff>760799</xdr:colOff>
      <xdr:row>386</xdr:row>
      <xdr:rowOff>192545</xdr:rowOff>
    </xdr:to>
    <xdr:graphicFrame macro="">
      <xdr:nvGraphicFramePr>
        <xdr:cNvPr id="50" name="Diagramm 49">
          <a:extLst>
            <a:ext uri="{FF2B5EF4-FFF2-40B4-BE49-F238E27FC236}">
              <a16:creationId xmlns:a16="http://schemas.microsoft.com/office/drawing/2014/main" id="{71966814-A2FD-A23C-38FB-535994FE8B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20</xdr:col>
      <xdr:colOff>230976</xdr:colOff>
      <xdr:row>389</xdr:row>
      <xdr:rowOff>101729</xdr:rowOff>
    </xdr:from>
    <xdr:to>
      <xdr:col>21</xdr:col>
      <xdr:colOff>693126</xdr:colOff>
      <xdr:row>391</xdr:row>
      <xdr:rowOff>98729</xdr:rowOff>
    </xdr:to>
    <xdr:graphicFrame macro="">
      <xdr:nvGraphicFramePr>
        <xdr:cNvPr id="52" name="Diagramm 51">
          <a:extLst>
            <a:ext uri="{FF2B5EF4-FFF2-40B4-BE49-F238E27FC236}">
              <a16:creationId xmlns:a16="http://schemas.microsoft.com/office/drawing/2014/main" id="{7674CBBA-3FD2-D8FF-0D56-3F1E2B2F8F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25</xdr:col>
      <xdr:colOff>614795</xdr:colOff>
      <xdr:row>394</xdr:row>
      <xdr:rowOff>55418</xdr:rowOff>
    </xdr:from>
    <xdr:to>
      <xdr:col>27</xdr:col>
      <xdr:colOff>309995</xdr:colOff>
      <xdr:row>403</xdr:row>
      <xdr:rowOff>36368</xdr:rowOff>
    </xdr:to>
    <xdr:graphicFrame macro="">
      <xdr:nvGraphicFramePr>
        <xdr:cNvPr id="53" name="Diagramm 52">
          <a:extLst>
            <a:ext uri="{FF2B5EF4-FFF2-40B4-BE49-F238E27FC236}">
              <a16:creationId xmlns:a16="http://schemas.microsoft.com/office/drawing/2014/main" id="{F6F5ED5F-48F5-4BD8-8262-CEF9A2E495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31</xdr:col>
      <xdr:colOff>344272</xdr:colOff>
      <xdr:row>391</xdr:row>
      <xdr:rowOff>86753</xdr:rowOff>
    </xdr:from>
    <xdr:to>
      <xdr:col>33</xdr:col>
      <xdr:colOff>687724</xdr:colOff>
      <xdr:row>404</xdr:row>
      <xdr:rowOff>154808</xdr:rowOff>
    </xdr:to>
    <xdr:graphicFrame macro="">
      <xdr:nvGraphicFramePr>
        <xdr:cNvPr id="54" name="Diagramm 53">
          <a:extLst>
            <a:ext uri="{FF2B5EF4-FFF2-40B4-BE49-F238E27FC236}">
              <a16:creationId xmlns:a16="http://schemas.microsoft.com/office/drawing/2014/main" id="{A9DE84D4-C9EA-461C-AB7D-DE437A12C21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26</xdr:col>
      <xdr:colOff>207818</xdr:colOff>
      <xdr:row>360</xdr:row>
      <xdr:rowOff>0</xdr:rowOff>
    </xdr:from>
    <xdr:to>
      <xdr:col>27</xdr:col>
      <xdr:colOff>760545</xdr:colOff>
      <xdr:row>363</xdr:row>
      <xdr:rowOff>95182</xdr:rowOff>
    </xdr:to>
    <xdr:graphicFrame macro="">
      <xdr:nvGraphicFramePr>
        <xdr:cNvPr id="2" name="Diagramm 1">
          <a:extLst>
            <a:ext uri="{FF2B5EF4-FFF2-40B4-BE49-F238E27FC236}">
              <a16:creationId xmlns:a16="http://schemas.microsoft.com/office/drawing/2014/main" id="{B9E37B33-B149-4530-8476-71BC832A29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26</xdr:col>
      <xdr:colOff>253999</xdr:colOff>
      <xdr:row>367</xdr:row>
      <xdr:rowOff>184728</xdr:rowOff>
    </xdr:from>
    <xdr:to>
      <xdr:col>27</xdr:col>
      <xdr:colOff>806726</xdr:colOff>
      <xdr:row>369</xdr:row>
      <xdr:rowOff>155782</xdr:rowOff>
    </xdr:to>
    <xdr:graphicFrame macro="">
      <xdr:nvGraphicFramePr>
        <xdr:cNvPr id="3" name="Diagramm 2">
          <a:extLst>
            <a:ext uri="{FF2B5EF4-FFF2-40B4-BE49-F238E27FC236}">
              <a16:creationId xmlns:a16="http://schemas.microsoft.com/office/drawing/2014/main" id="{1824ECBE-27FF-9641-A66E-F093327B3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20</xdr:col>
      <xdr:colOff>246284</xdr:colOff>
      <xdr:row>364</xdr:row>
      <xdr:rowOff>80818</xdr:rowOff>
    </xdr:from>
    <xdr:to>
      <xdr:col>21</xdr:col>
      <xdr:colOff>799011</xdr:colOff>
      <xdr:row>367</xdr:row>
      <xdr:rowOff>140000</xdr:rowOff>
    </xdr:to>
    <xdr:graphicFrame macro="">
      <xdr:nvGraphicFramePr>
        <xdr:cNvPr id="4" name="Diagramm 3">
          <a:extLst>
            <a:ext uri="{FF2B5EF4-FFF2-40B4-BE49-F238E27FC236}">
              <a16:creationId xmlns:a16="http://schemas.microsoft.com/office/drawing/2014/main" id="{7D516472-68EC-48FF-7A60-0E2BEAA97E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20</xdr:col>
      <xdr:colOff>188558</xdr:colOff>
      <xdr:row>368</xdr:row>
      <xdr:rowOff>57728</xdr:rowOff>
    </xdr:from>
    <xdr:to>
      <xdr:col>21</xdr:col>
      <xdr:colOff>741285</xdr:colOff>
      <xdr:row>370</xdr:row>
      <xdr:rowOff>28782</xdr:rowOff>
    </xdr:to>
    <xdr:graphicFrame macro="">
      <xdr:nvGraphicFramePr>
        <xdr:cNvPr id="5" name="Diagramm 4">
          <a:extLst>
            <a:ext uri="{FF2B5EF4-FFF2-40B4-BE49-F238E27FC236}">
              <a16:creationId xmlns:a16="http://schemas.microsoft.com/office/drawing/2014/main" id="{D9C9E403-E8BF-7F46-E158-05F59DEEF6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14</xdr:col>
      <xdr:colOff>229420</xdr:colOff>
      <xdr:row>343</xdr:row>
      <xdr:rowOff>46923</xdr:rowOff>
    </xdr:from>
    <xdr:to>
      <xdr:col>15</xdr:col>
      <xdr:colOff>694184</xdr:colOff>
      <xdr:row>346</xdr:row>
      <xdr:rowOff>184217</xdr:rowOff>
    </xdr:to>
    <xdr:graphicFrame macro="">
      <xdr:nvGraphicFramePr>
        <xdr:cNvPr id="29" name="Diagramm 28">
          <a:extLst>
            <a:ext uri="{FF2B5EF4-FFF2-40B4-BE49-F238E27FC236}">
              <a16:creationId xmlns:a16="http://schemas.microsoft.com/office/drawing/2014/main" id="{1DCF7E1B-874E-163F-0357-2538E51937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14</xdr:col>
      <xdr:colOff>211135</xdr:colOff>
      <xdr:row>363</xdr:row>
      <xdr:rowOff>102952</xdr:rowOff>
    </xdr:from>
    <xdr:to>
      <xdr:col>15</xdr:col>
      <xdr:colOff>675899</xdr:colOff>
      <xdr:row>366</xdr:row>
      <xdr:rowOff>60246</xdr:rowOff>
    </xdr:to>
    <xdr:graphicFrame macro="">
      <xdr:nvGraphicFramePr>
        <xdr:cNvPr id="30" name="Diagramm 29">
          <a:extLst>
            <a:ext uri="{FF2B5EF4-FFF2-40B4-BE49-F238E27FC236}">
              <a16:creationId xmlns:a16="http://schemas.microsoft.com/office/drawing/2014/main" id="{C9E6EDA8-6383-B38C-5BD7-9CE366FA04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14</xdr:col>
      <xdr:colOff>226076</xdr:colOff>
      <xdr:row>366</xdr:row>
      <xdr:rowOff>132834</xdr:rowOff>
    </xdr:from>
    <xdr:to>
      <xdr:col>15</xdr:col>
      <xdr:colOff>690840</xdr:colOff>
      <xdr:row>368</xdr:row>
      <xdr:rowOff>122363</xdr:rowOff>
    </xdr:to>
    <xdr:graphicFrame macro="">
      <xdr:nvGraphicFramePr>
        <xdr:cNvPr id="31" name="Diagramm 30">
          <a:extLst>
            <a:ext uri="{FF2B5EF4-FFF2-40B4-BE49-F238E27FC236}">
              <a16:creationId xmlns:a16="http://schemas.microsoft.com/office/drawing/2014/main" id="{85A1B23B-77A3-A421-FE61-A064EE5064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16</xdr:col>
      <xdr:colOff>84134</xdr:colOff>
      <xdr:row>375</xdr:row>
      <xdr:rowOff>20775</xdr:rowOff>
    </xdr:from>
    <xdr:to>
      <xdr:col>17</xdr:col>
      <xdr:colOff>660635</xdr:colOff>
      <xdr:row>381</xdr:row>
      <xdr:rowOff>173776</xdr:rowOff>
    </xdr:to>
    <xdr:graphicFrame macro="">
      <xdr:nvGraphicFramePr>
        <xdr:cNvPr id="32" name="Diagramm 31">
          <a:extLst>
            <a:ext uri="{FF2B5EF4-FFF2-40B4-BE49-F238E27FC236}">
              <a16:creationId xmlns:a16="http://schemas.microsoft.com/office/drawing/2014/main" id="{873CD7FD-6546-2542-7A1F-D6F07768F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0.40416</cdr:x>
      <cdr:y>0.10267</cdr:y>
    </cdr:from>
    <cdr:to>
      <cdr:x>0.61382</cdr:x>
      <cdr:y>0.22742</cdr:y>
    </cdr:to>
    <cdr:sp macro="" textlink="">
      <cdr:nvSpPr>
        <cdr:cNvPr id="2" name="Textfeld 1"/>
        <cdr:cNvSpPr txBox="1"/>
      </cdr:nvSpPr>
      <cdr:spPr>
        <a:xfrm xmlns:a="http://schemas.openxmlformats.org/drawingml/2006/main">
          <a:off x="1581840" y="359151"/>
          <a:ext cx="820588" cy="43641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11</a:t>
          </a:r>
        </a:p>
      </cdr:txBody>
    </cdr:sp>
  </cdr:relSizeAnchor>
  <cdr:relSizeAnchor xmlns:cdr="http://schemas.openxmlformats.org/drawingml/2006/chartDrawing">
    <cdr:from>
      <cdr:x>0.5743</cdr:x>
      <cdr:y>0.14586</cdr:y>
    </cdr:from>
    <cdr:to>
      <cdr:x>0.79317</cdr:x>
      <cdr:y>0.25889</cdr:y>
    </cdr:to>
    <cdr:sp macro="" textlink="">
      <cdr:nvSpPr>
        <cdr:cNvPr id="3" name="Textfeld 2"/>
        <cdr:cNvSpPr txBox="1"/>
      </cdr:nvSpPr>
      <cdr:spPr>
        <a:xfrm xmlns:a="http://schemas.openxmlformats.org/drawingml/2006/main">
          <a:off x="2247766" y="510266"/>
          <a:ext cx="856635" cy="395409"/>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600">
              <a:solidFill>
                <a:srgbClr val="C00000"/>
              </a:solidFill>
              <a:latin typeface="Verdana" panose="020B0604030504040204" pitchFamily="34" charset="0"/>
              <a:ea typeface="Verdana" panose="020B0604030504040204" pitchFamily="34" charset="0"/>
              <a:cs typeface="Verdana" panose="020B0604030504040204" pitchFamily="34" charset="0"/>
            </a:rPr>
            <a:t>12</a:t>
          </a:r>
        </a:p>
      </cdr:txBody>
    </cdr:sp>
  </cdr:relSizeAnchor>
  <cdr:relSizeAnchor xmlns:cdr="http://schemas.openxmlformats.org/drawingml/2006/chartDrawing">
    <cdr:from>
      <cdr:x>0.72772</cdr:x>
      <cdr:y>0.28754</cdr:y>
    </cdr:from>
    <cdr:to>
      <cdr:x>0.93284</cdr:x>
      <cdr:y>0.39785</cdr:y>
    </cdr:to>
    <cdr:sp macro="" textlink="">
      <cdr:nvSpPr>
        <cdr:cNvPr id="4" name="Textfeld 3"/>
        <cdr:cNvSpPr txBox="1"/>
      </cdr:nvSpPr>
      <cdr:spPr>
        <a:xfrm xmlns:a="http://schemas.openxmlformats.org/drawingml/2006/main">
          <a:off x="2848222" y="1005899"/>
          <a:ext cx="802819" cy="3858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13</a:t>
          </a:r>
          <a:endParaRPr lang="de-CH" sz="700" baseline="0">
            <a:solidFill>
              <a:srgbClr val="FF0000"/>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0.76879</cdr:x>
      <cdr:y>0.48047</cdr:y>
    </cdr:from>
    <cdr:to>
      <cdr:x>0.97573</cdr:x>
      <cdr:y>0.58764</cdr:y>
    </cdr:to>
    <cdr:sp macro="" textlink="">
      <cdr:nvSpPr>
        <cdr:cNvPr id="5" name="Textfeld 4"/>
        <cdr:cNvSpPr txBox="1"/>
      </cdr:nvSpPr>
      <cdr:spPr>
        <a:xfrm xmlns:a="http://schemas.openxmlformats.org/drawingml/2006/main">
          <a:off x="3008950" y="1680822"/>
          <a:ext cx="809942" cy="3749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14</a:t>
          </a:r>
        </a:p>
      </cdr:txBody>
    </cdr:sp>
  </cdr:relSizeAnchor>
  <cdr:relSizeAnchor xmlns:cdr="http://schemas.openxmlformats.org/drawingml/2006/chartDrawing">
    <cdr:from>
      <cdr:x>0.665</cdr:x>
      <cdr:y>0.72012</cdr:y>
    </cdr:from>
    <cdr:to>
      <cdr:x>0.88497</cdr:x>
      <cdr:y>0.92111</cdr:y>
    </cdr:to>
    <cdr:sp macro="" textlink="">
      <cdr:nvSpPr>
        <cdr:cNvPr id="7" name="Textfeld 6"/>
        <cdr:cNvSpPr txBox="1"/>
      </cdr:nvSpPr>
      <cdr:spPr>
        <a:xfrm xmlns:a="http://schemas.openxmlformats.org/drawingml/2006/main">
          <a:off x="1241493" y="1220932"/>
          <a:ext cx="410662" cy="3407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21</a:t>
          </a:r>
        </a:p>
      </cdr:txBody>
    </cdr:sp>
  </cdr:relSizeAnchor>
  <cdr:relSizeAnchor xmlns:cdr="http://schemas.openxmlformats.org/drawingml/2006/chartDrawing">
    <cdr:from>
      <cdr:x>0.53845</cdr:x>
      <cdr:y>0.86619</cdr:y>
    </cdr:from>
    <cdr:to>
      <cdr:x>0.75012</cdr:x>
      <cdr:y>0.96844</cdr:y>
    </cdr:to>
    <cdr:sp macro="" textlink="">
      <cdr:nvSpPr>
        <cdr:cNvPr id="8" name="Textfeld 7"/>
        <cdr:cNvSpPr txBox="1"/>
      </cdr:nvSpPr>
      <cdr:spPr>
        <a:xfrm xmlns:a="http://schemas.openxmlformats.org/drawingml/2006/main">
          <a:off x="1005230" y="1468582"/>
          <a:ext cx="395167" cy="17336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22</a:t>
          </a: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0.27752</cdr:x>
      <cdr:y>0.86619</cdr:y>
    </cdr:from>
    <cdr:to>
      <cdr:x>0.5237</cdr:x>
      <cdr:y>0.9471</cdr:y>
    </cdr:to>
    <cdr:sp macro="" textlink="">
      <cdr:nvSpPr>
        <cdr:cNvPr id="10" name="Textfeld 9"/>
        <cdr:cNvSpPr txBox="1"/>
      </cdr:nvSpPr>
      <cdr:spPr>
        <a:xfrm xmlns:a="http://schemas.openxmlformats.org/drawingml/2006/main">
          <a:off x="518111" y="1468582"/>
          <a:ext cx="459593" cy="13717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23</a:t>
          </a:r>
        </a:p>
      </cdr:txBody>
    </cdr:sp>
  </cdr:relSizeAnchor>
  <cdr:relSizeAnchor xmlns:cdr="http://schemas.openxmlformats.org/drawingml/2006/chartDrawing">
    <cdr:from>
      <cdr:x>0.09988</cdr:x>
      <cdr:y>0.72761</cdr:y>
    </cdr:from>
    <cdr:to>
      <cdr:x>0.37521</cdr:x>
      <cdr:y>0.8067</cdr:y>
    </cdr:to>
    <cdr:sp macro="" textlink="">
      <cdr:nvSpPr>
        <cdr:cNvPr id="11" name="Textfeld 10"/>
        <cdr:cNvSpPr txBox="1"/>
      </cdr:nvSpPr>
      <cdr:spPr>
        <a:xfrm xmlns:a="http://schemas.openxmlformats.org/drawingml/2006/main">
          <a:off x="186461" y="1233632"/>
          <a:ext cx="514014" cy="13409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31</a:t>
          </a:r>
        </a:p>
      </cdr:txBody>
    </cdr:sp>
  </cdr:relSizeAnchor>
  <cdr:relSizeAnchor xmlns:cdr="http://schemas.openxmlformats.org/drawingml/2006/chartDrawing">
    <cdr:from>
      <cdr:x>0.09864</cdr:x>
      <cdr:y>0.50718</cdr:y>
    </cdr:from>
    <cdr:to>
      <cdr:x>0.35096</cdr:x>
      <cdr:y>0.64147</cdr:y>
    </cdr:to>
    <cdr:sp macro="" textlink="">
      <cdr:nvSpPr>
        <cdr:cNvPr id="12" name="Textfeld 11"/>
        <cdr:cNvSpPr txBox="1"/>
      </cdr:nvSpPr>
      <cdr:spPr>
        <a:xfrm xmlns:a="http://schemas.openxmlformats.org/drawingml/2006/main">
          <a:off x="184150" y="859898"/>
          <a:ext cx="471054" cy="2276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32</a:t>
          </a:r>
        </a:p>
      </cdr:txBody>
    </cdr:sp>
  </cdr:relSizeAnchor>
  <cdr:relSizeAnchor xmlns:cdr="http://schemas.openxmlformats.org/drawingml/2006/chartDrawing">
    <cdr:from>
      <cdr:x>0.13865</cdr:x>
      <cdr:y>0.32141</cdr:y>
    </cdr:from>
    <cdr:to>
      <cdr:x>0.35425</cdr:x>
      <cdr:y>0.42799</cdr:y>
    </cdr:to>
    <cdr:sp macro="" textlink="">
      <cdr:nvSpPr>
        <cdr:cNvPr id="13" name="Textfeld 12"/>
        <cdr:cNvSpPr txBox="1"/>
      </cdr:nvSpPr>
      <cdr:spPr>
        <a:xfrm xmlns:a="http://schemas.openxmlformats.org/drawingml/2006/main">
          <a:off x="258851" y="544931"/>
          <a:ext cx="402503" cy="1807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33</a:t>
          </a:r>
        </a:p>
      </cdr:txBody>
    </cdr:sp>
  </cdr:relSizeAnchor>
  <cdr:relSizeAnchor xmlns:cdr="http://schemas.openxmlformats.org/drawingml/2006/chartDrawing">
    <cdr:from>
      <cdr:x>0.21123</cdr:x>
      <cdr:y>0.17199</cdr:y>
    </cdr:from>
    <cdr:to>
      <cdr:x>0.41196</cdr:x>
      <cdr:y>0.26878</cdr:y>
    </cdr:to>
    <cdr:sp macro="" textlink="">
      <cdr:nvSpPr>
        <cdr:cNvPr id="14" name="Textfeld 13"/>
        <cdr:cNvSpPr txBox="1"/>
      </cdr:nvSpPr>
      <cdr:spPr>
        <a:xfrm xmlns:a="http://schemas.openxmlformats.org/drawingml/2006/main">
          <a:off x="825293" y="601680"/>
          <a:ext cx="784268" cy="33859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34</a:t>
          </a:r>
        </a:p>
      </cdr:txBody>
    </cdr:sp>
  </cdr:relSizeAnchor>
</c:userShapes>
</file>

<file path=xl/drawings/drawing16.xml><?xml version="1.0" encoding="utf-8"?>
<c:userShapes xmlns:c="http://schemas.openxmlformats.org/drawingml/2006/chart">
  <cdr:relSizeAnchor xmlns:cdr="http://schemas.openxmlformats.org/drawingml/2006/chartDrawing">
    <cdr:from>
      <cdr:x>0.40416</cdr:x>
      <cdr:y>0.10267</cdr:y>
    </cdr:from>
    <cdr:to>
      <cdr:x>0.61382</cdr:x>
      <cdr:y>0.22742</cdr:y>
    </cdr:to>
    <cdr:sp macro="" textlink="">
      <cdr:nvSpPr>
        <cdr:cNvPr id="2" name="Textfeld 1"/>
        <cdr:cNvSpPr txBox="1"/>
      </cdr:nvSpPr>
      <cdr:spPr>
        <a:xfrm xmlns:a="http://schemas.openxmlformats.org/drawingml/2006/main">
          <a:off x="1581840" y="359151"/>
          <a:ext cx="820588" cy="43641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Kontext</a:t>
          </a:r>
          <a:r>
            <a:rPr lang="de-CH" sz="700" baseline="0">
              <a:solidFill>
                <a:srgbClr val="C00000"/>
              </a:solidFill>
              <a:latin typeface="+mn-lt"/>
              <a:ea typeface="Verdana" panose="020B0604030504040204" pitchFamily="34" charset="0"/>
              <a:cs typeface="Verdana" panose="020B0604030504040204" pitchFamily="34" charset="0"/>
            </a:rPr>
            <a:t> und Architektur</a:t>
          </a:r>
          <a:endParaRPr lang="de-CH" sz="700">
            <a:solidFill>
              <a:srgbClr val="C00000"/>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0.5743</cdr:x>
      <cdr:y>0.14586</cdr:y>
    </cdr:from>
    <cdr:to>
      <cdr:x>0.79317</cdr:x>
      <cdr:y>0.25889</cdr:y>
    </cdr:to>
    <cdr:sp macro="" textlink="">
      <cdr:nvSpPr>
        <cdr:cNvPr id="3" name="Textfeld 2"/>
        <cdr:cNvSpPr txBox="1"/>
      </cdr:nvSpPr>
      <cdr:spPr>
        <a:xfrm xmlns:a="http://schemas.openxmlformats.org/drawingml/2006/main">
          <a:off x="2247766" y="510266"/>
          <a:ext cx="856635" cy="395409"/>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600">
              <a:solidFill>
                <a:srgbClr val="C00000"/>
              </a:solidFill>
              <a:latin typeface="Verdana" panose="020B0604030504040204" pitchFamily="34" charset="0"/>
              <a:ea typeface="Verdana" panose="020B0604030504040204" pitchFamily="34" charset="0"/>
              <a:cs typeface="Verdana" panose="020B0604030504040204" pitchFamily="34" charset="0"/>
            </a:rPr>
            <a:t>Planung</a:t>
          </a:r>
          <a:r>
            <a:rPr lang="de-CH" sz="600" baseline="0">
              <a:solidFill>
                <a:srgbClr val="C00000"/>
              </a:solidFill>
              <a:latin typeface="Verdana" panose="020B0604030504040204" pitchFamily="34" charset="0"/>
              <a:ea typeface="Verdana" panose="020B0604030504040204" pitchFamily="34" charset="0"/>
              <a:cs typeface="Verdana" panose="020B0604030504040204" pitchFamily="34" charset="0"/>
            </a:rPr>
            <a:t> und Zielgruppen</a:t>
          </a:r>
          <a:endParaRPr lang="de-CH" sz="600">
            <a:solidFill>
              <a:srgbClr val="C00000"/>
            </a:solidFill>
            <a:latin typeface="Verdana" panose="020B0604030504040204" pitchFamily="34" charset="0"/>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0.72772</cdr:x>
      <cdr:y>0.28754</cdr:y>
    </cdr:from>
    <cdr:to>
      <cdr:x>0.93284</cdr:x>
      <cdr:y>0.39785</cdr:y>
    </cdr:to>
    <cdr:sp macro="" textlink="">
      <cdr:nvSpPr>
        <cdr:cNvPr id="4" name="Textfeld 3"/>
        <cdr:cNvSpPr txBox="1"/>
      </cdr:nvSpPr>
      <cdr:spPr>
        <a:xfrm xmlns:a="http://schemas.openxmlformats.org/drawingml/2006/main">
          <a:off x="2848222" y="1005899"/>
          <a:ext cx="802819" cy="3858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Nutzung</a:t>
          </a:r>
          <a:r>
            <a:rPr lang="de-CH" sz="700" baseline="0">
              <a:solidFill>
                <a:srgbClr val="C00000"/>
              </a:solidFill>
              <a:latin typeface="+mn-lt"/>
              <a:ea typeface="Verdana" panose="020B0604030504040204" pitchFamily="34" charset="0"/>
              <a:cs typeface="Verdana" panose="020B0604030504040204" pitchFamily="34" charset="0"/>
            </a:rPr>
            <a:t> und </a:t>
          </a:r>
          <a:r>
            <a:rPr lang="de-CH" sz="700" baseline="0">
              <a:solidFill>
                <a:srgbClr val="FF0000"/>
              </a:solidFill>
              <a:latin typeface="+mn-lt"/>
              <a:ea typeface="Verdana" panose="020B0604030504040204" pitchFamily="34" charset="0"/>
              <a:cs typeface="Verdana" panose="020B0604030504040204" pitchFamily="34" charset="0"/>
            </a:rPr>
            <a:t>Raumgestaltung</a:t>
          </a:r>
        </a:p>
      </cdr:txBody>
    </cdr:sp>
  </cdr:relSizeAnchor>
  <cdr:relSizeAnchor xmlns:cdr="http://schemas.openxmlformats.org/drawingml/2006/chartDrawing">
    <cdr:from>
      <cdr:x>0.76879</cdr:x>
      <cdr:y>0.48047</cdr:y>
    </cdr:from>
    <cdr:to>
      <cdr:x>0.97573</cdr:x>
      <cdr:y>0.58764</cdr:y>
    </cdr:to>
    <cdr:sp macro="" textlink="">
      <cdr:nvSpPr>
        <cdr:cNvPr id="5" name="Textfeld 4"/>
        <cdr:cNvSpPr txBox="1"/>
      </cdr:nvSpPr>
      <cdr:spPr>
        <a:xfrm xmlns:a="http://schemas.openxmlformats.org/drawingml/2006/main">
          <a:off x="3008950" y="1680822"/>
          <a:ext cx="809942" cy="3749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Wohlbefinden und Gesundheit</a:t>
          </a:r>
        </a:p>
      </cdr:txBody>
    </cdr:sp>
  </cdr:relSizeAnchor>
  <cdr:relSizeAnchor xmlns:cdr="http://schemas.openxmlformats.org/drawingml/2006/chartDrawing">
    <cdr:from>
      <cdr:x>0.73792</cdr:x>
      <cdr:y>0.67701</cdr:y>
    </cdr:from>
    <cdr:to>
      <cdr:x>0.87839</cdr:x>
      <cdr:y>0.74297</cdr:y>
    </cdr:to>
    <cdr:sp macro="" textlink="">
      <cdr:nvSpPr>
        <cdr:cNvPr id="6" name="Textfeld 5"/>
        <cdr:cNvSpPr txBox="1"/>
      </cdr:nvSpPr>
      <cdr:spPr>
        <a:xfrm xmlns:a="http://schemas.openxmlformats.org/drawingml/2006/main">
          <a:off x="2883102" y="2368376"/>
          <a:ext cx="548827" cy="23074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Kosten</a:t>
          </a:r>
        </a:p>
      </cdr:txBody>
    </cdr:sp>
  </cdr:relSizeAnchor>
  <cdr:relSizeAnchor xmlns:cdr="http://schemas.openxmlformats.org/drawingml/2006/chartDrawing">
    <cdr:from>
      <cdr:x>0.62323</cdr:x>
      <cdr:y>0.79901</cdr:y>
    </cdr:from>
    <cdr:to>
      <cdr:x>0.8432</cdr:x>
      <cdr:y>0.88832</cdr:y>
    </cdr:to>
    <cdr:sp macro="" textlink="">
      <cdr:nvSpPr>
        <cdr:cNvPr id="7" name="Textfeld 6"/>
        <cdr:cNvSpPr txBox="1"/>
      </cdr:nvSpPr>
      <cdr:spPr>
        <a:xfrm xmlns:a="http://schemas.openxmlformats.org/drawingml/2006/main">
          <a:off x="2435003" y="2795154"/>
          <a:ext cx="859440" cy="31243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Handelbarkeit</a:t>
          </a:r>
        </a:p>
      </cdr:txBody>
    </cdr:sp>
  </cdr:relSizeAnchor>
  <cdr:relSizeAnchor xmlns:cdr="http://schemas.openxmlformats.org/drawingml/2006/chartDrawing">
    <cdr:from>
      <cdr:x>0.40103</cdr:x>
      <cdr:y>0.84409</cdr:y>
    </cdr:from>
    <cdr:to>
      <cdr:x>0.6127</cdr:x>
      <cdr:y>0.94634</cdr:y>
    </cdr:to>
    <cdr:sp macro="" textlink="">
      <cdr:nvSpPr>
        <cdr:cNvPr id="8" name="Textfeld 7"/>
        <cdr:cNvSpPr txBox="1"/>
      </cdr:nvSpPr>
      <cdr:spPr>
        <a:xfrm xmlns:a="http://schemas.openxmlformats.org/drawingml/2006/main">
          <a:off x="1566855" y="2952872"/>
          <a:ext cx="827026" cy="35769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Ertragspotenzial</a:t>
          </a: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0.15299</cdr:x>
      <cdr:y>0.79427</cdr:y>
    </cdr:from>
    <cdr:to>
      <cdr:x>0.39917</cdr:x>
      <cdr:y>0.87518</cdr:y>
    </cdr:to>
    <cdr:sp macro="" textlink="">
      <cdr:nvSpPr>
        <cdr:cNvPr id="10" name="Textfeld 9"/>
        <cdr:cNvSpPr txBox="1"/>
      </cdr:nvSpPr>
      <cdr:spPr>
        <a:xfrm xmlns:a="http://schemas.openxmlformats.org/drawingml/2006/main">
          <a:off x="597748" y="2778561"/>
          <a:ext cx="961844" cy="28304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Regionalökonomie</a:t>
          </a:r>
        </a:p>
      </cdr:txBody>
    </cdr:sp>
  </cdr:relSizeAnchor>
  <cdr:relSizeAnchor xmlns:cdr="http://schemas.openxmlformats.org/drawingml/2006/chartDrawing">
    <cdr:from>
      <cdr:x>0.14434</cdr:x>
      <cdr:y>0.67474</cdr:y>
    </cdr:from>
    <cdr:to>
      <cdr:x>0.27533</cdr:x>
      <cdr:y>0.73349</cdr:y>
    </cdr:to>
    <cdr:sp macro="" textlink="">
      <cdr:nvSpPr>
        <cdr:cNvPr id="11" name="Textfeld 10"/>
        <cdr:cNvSpPr txBox="1"/>
      </cdr:nvSpPr>
      <cdr:spPr>
        <a:xfrm xmlns:a="http://schemas.openxmlformats.org/drawingml/2006/main">
          <a:off x="563954" y="2360415"/>
          <a:ext cx="511788" cy="2055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Energie</a:t>
          </a:r>
        </a:p>
      </cdr:txBody>
    </cdr:sp>
  </cdr:relSizeAnchor>
  <cdr:relSizeAnchor xmlns:cdr="http://schemas.openxmlformats.org/drawingml/2006/chartDrawing">
    <cdr:from>
      <cdr:x>0.12687</cdr:x>
      <cdr:y>0.50718</cdr:y>
    </cdr:from>
    <cdr:to>
      <cdr:x>0.24631</cdr:x>
      <cdr:y>0.57446</cdr:y>
    </cdr:to>
    <cdr:sp macro="" textlink="">
      <cdr:nvSpPr>
        <cdr:cNvPr id="12" name="Textfeld 11"/>
        <cdr:cNvSpPr txBox="1"/>
      </cdr:nvSpPr>
      <cdr:spPr>
        <a:xfrm xmlns:a="http://schemas.openxmlformats.org/drawingml/2006/main">
          <a:off x="495698" y="1774256"/>
          <a:ext cx="466661" cy="2353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Klima</a:t>
          </a:r>
        </a:p>
      </cdr:txBody>
    </cdr:sp>
  </cdr:relSizeAnchor>
  <cdr:relSizeAnchor xmlns:cdr="http://schemas.openxmlformats.org/drawingml/2006/chartDrawing">
    <cdr:from>
      <cdr:x>0.05493</cdr:x>
      <cdr:y>0.30243</cdr:y>
    </cdr:from>
    <cdr:to>
      <cdr:x>0.27053</cdr:x>
      <cdr:y>0.40901</cdr:y>
    </cdr:to>
    <cdr:sp macro="" textlink="">
      <cdr:nvSpPr>
        <cdr:cNvPr id="13" name="Textfeld 12"/>
        <cdr:cNvSpPr txBox="1"/>
      </cdr:nvSpPr>
      <cdr:spPr>
        <a:xfrm xmlns:a="http://schemas.openxmlformats.org/drawingml/2006/main">
          <a:off x="214597" y="1057965"/>
          <a:ext cx="842366" cy="37284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Ressourcen- und Umweltschonung</a:t>
          </a:r>
        </a:p>
      </cdr:txBody>
    </cdr:sp>
  </cdr:relSizeAnchor>
  <cdr:relSizeAnchor xmlns:cdr="http://schemas.openxmlformats.org/drawingml/2006/chartDrawing">
    <cdr:from>
      <cdr:x>0.21123</cdr:x>
      <cdr:y>0.17199</cdr:y>
    </cdr:from>
    <cdr:to>
      <cdr:x>0.41196</cdr:x>
      <cdr:y>0.26878</cdr:y>
    </cdr:to>
    <cdr:sp macro="" textlink="">
      <cdr:nvSpPr>
        <cdr:cNvPr id="14" name="Textfeld 13"/>
        <cdr:cNvSpPr txBox="1"/>
      </cdr:nvSpPr>
      <cdr:spPr>
        <a:xfrm xmlns:a="http://schemas.openxmlformats.org/drawingml/2006/main">
          <a:off x="825293" y="601680"/>
          <a:ext cx="784268" cy="33859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Natur und Landschaft</a:t>
          </a:r>
        </a:p>
      </cdr:txBody>
    </cdr:sp>
  </cdr:relSizeAnchor>
</c:userShapes>
</file>

<file path=xl/drawings/drawing17.xml><?xml version="1.0" encoding="utf-8"?>
<c:userShapes xmlns:c="http://schemas.openxmlformats.org/drawingml/2006/chart">
  <cdr:relSizeAnchor xmlns:cdr="http://schemas.openxmlformats.org/drawingml/2006/chartDrawing">
    <cdr:from>
      <cdr:x>0.41804</cdr:x>
      <cdr:y>0.15659</cdr:y>
    </cdr:from>
    <cdr:to>
      <cdr:x>0.6277</cdr:x>
      <cdr:y>0.28134</cdr:y>
    </cdr:to>
    <cdr:sp macro="" textlink="">
      <cdr:nvSpPr>
        <cdr:cNvPr id="2" name="Textfeld 1"/>
        <cdr:cNvSpPr txBox="1"/>
      </cdr:nvSpPr>
      <cdr:spPr>
        <a:xfrm xmlns:a="http://schemas.openxmlformats.org/drawingml/2006/main">
          <a:off x="779207" y="265498"/>
          <a:ext cx="390800" cy="211507"/>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11</a:t>
          </a:r>
        </a:p>
      </cdr:txBody>
    </cdr:sp>
  </cdr:relSizeAnchor>
  <cdr:relSizeAnchor xmlns:cdr="http://schemas.openxmlformats.org/drawingml/2006/chartDrawing">
    <cdr:from>
      <cdr:x>0.61482</cdr:x>
      <cdr:y>0.20068</cdr:y>
    </cdr:from>
    <cdr:to>
      <cdr:x>0.83369</cdr:x>
      <cdr:y>0.31371</cdr:y>
    </cdr:to>
    <cdr:sp macro="" textlink="">
      <cdr:nvSpPr>
        <cdr:cNvPr id="3" name="Textfeld 2"/>
        <cdr:cNvSpPr txBox="1"/>
      </cdr:nvSpPr>
      <cdr:spPr>
        <a:xfrm xmlns:a="http://schemas.openxmlformats.org/drawingml/2006/main">
          <a:off x="1146008" y="340236"/>
          <a:ext cx="407967" cy="191637"/>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600">
              <a:solidFill>
                <a:srgbClr val="C00000"/>
              </a:solidFill>
              <a:latin typeface="Verdana" panose="020B0604030504040204" pitchFamily="34" charset="0"/>
              <a:ea typeface="Verdana" panose="020B0604030504040204" pitchFamily="34" charset="0"/>
              <a:cs typeface="Verdana" panose="020B0604030504040204" pitchFamily="34" charset="0"/>
            </a:rPr>
            <a:t>12</a:t>
          </a:r>
        </a:p>
      </cdr:txBody>
    </cdr:sp>
  </cdr:relSizeAnchor>
  <cdr:relSizeAnchor xmlns:cdr="http://schemas.openxmlformats.org/drawingml/2006/chartDrawing">
    <cdr:from>
      <cdr:x>0.74771</cdr:x>
      <cdr:y>0.41675</cdr:y>
    </cdr:from>
    <cdr:to>
      <cdr:x>0.95283</cdr:x>
      <cdr:y>0.52706</cdr:y>
    </cdr:to>
    <cdr:sp macro="" textlink="">
      <cdr:nvSpPr>
        <cdr:cNvPr id="4" name="Textfeld 3"/>
        <cdr:cNvSpPr txBox="1"/>
      </cdr:nvSpPr>
      <cdr:spPr>
        <a:xfrm xmlns:a="http://schemas.openxmlformats.org/drawingml/2006/main">
          <a:off x="1393709" y="706582"/>
          <a:ext cx="382338" cy="187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13</a:t>
          </a:r>
          <a:endParaRPr lang="de-CH" sz="700" baseline="0">
            <a:solidFill>
              <a:srgbClr val="FF0000"/>
            </a:solidFill>
            <a:latin typeface="+mn-lt"/>
            <a:ea typeface="Verdana" panose="020B0604030504040204" pitchFamily="34" charset="0"/>
            <a:cs typeface="Verdana" panose="020B0604030504040204" pitchFamily="34" charset="0"/>
          </a:endParaRPr>
        </a:p>
      </cdr:txBody>
    </cdr:sp>
  </cdr:relSizeAnchor>
  <cdr:relSizeAnchor xmlns:cdr="http://schemas.openxmlformats.org/drawingml/2006/chartDrawing">
    <cdr:from>
      <cdr:x>0.77996</cdr:x>
      <cdr:y>0.64147</cdr:y>
    </cdr:from>
    <cdr:to>
      <cdr:x>0.9869</cdr:x>
      <cdr:y>0.74864</cdr:y>
    </cdr:to>
    <cdr:sp macro="" textlink="">
      <cdr:nvSpPr>
        <cdr:cNvPr id="5" name="Textfeld 4"/>
        <cdr:cNvSpPr txBox="1"/>
      </cdr:nvSpPr>
      <cdr:spPr>
        <a:xfrm xmlns:a="http://schemas.openxmlformats.org/drawingml/2006/main">
          <a:off x="1453817" y="1087582"/>
          <a:ext cx="385730" cy="1817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de-CH" sz="700">
              <a:solidFill>
                <a:srgbClr val="C00000"/>
              </a:solidFill>
              <a:latin typeface="+mn-lt"/>
              <a:ea typeface="Verdana" panose="020B0604030504040204" pitchFamily="34" charset="0"/>
              <a:cs typeface="Verdana" panose="020B0604030504040204" pitchFamily="34" charset="0"/>
            </a:rPr>
            <a:t>14</a:t>
          </a:r>
        </a:p>
      </cdr:txBody>
    </cdr:sp>
  </cdr:relSizeAnchor>
  <cdr:relSizeAnchor xmlns:cdr="http://schemas.openxmlformats.org/drawingml/2006/chartDrawing">
    <cdr:from>
      <cdr:x>0.62323</cdr:x>
      <cdr:y>0.79901</cdr:y>
    </cdr:from>
    <cdr:to>
      <cdr:x>0.8432</cdr:x>
      <cdr:y>0.88832</cdr:y>
    </cdr:to>
    <cdr:sp macro="" textlink="">
      <cdr:nvSpPr>
        <cdr:cNvPr id="7" name="Textfeld 6"/>
        <cdr:cNvSpPr txBox="1"/>
      </cdr:nvSpPr>
      <cdr:spPr>
        <a:xfrm xmlns:a="http://schemas.openxmlformats.org/drawingml/2006/main">
          <a:off x="2435003" y="2795154"/>
          <a:ext cx="859440" cy="31243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21</a:t>
          </a:r>
        </a:p>
      </cdr:txBody>
    </cdr:sp>
  </cdr:relSizeAnchor>
  <cdr:relSizeAnchor xmlns:cdr="http://schemas.openxmlformats.org/drawingml/2006/chartDrawing">
    <cdr:from>
      <cdr:x>0.40103</cdr:x>
      <cdr:y>0.84409</cdr:y>
    </cdr:from>
    <cdr:to>
      <cdr:x>0.6127</cdr:x>
      <cdr:y>0.94634</cdr:y>
    </cdr:to>
    <cdr:sp macro="" textlink="">
      <cdr:nvSpPr>
        <cdr:cNvPr id="8" name="Textfeld 7"/>
        <cdr:cNvSpPr txBox="1"/>
      </cdr:nvSpPr>
      <cdr:spPr>
        <a:xfrm xmlns:a="http://schemas.openxmlformats.org/drawingml/2006/main">
          <a:off x="1566855" y="2952872"/>
          <a:ext cx="827026" cy="35769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22</a:t>
          </a: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0.25193</cdr:x>
      <cdr:y>0.80857</cdr:y>
    </cdr:from>
    <cdr:to>
      <cdr:x>0.52726</cdr:x>
      <cdr:y>0.88766</cdr:y>
    </cdr:to>
    <cdr:sp macro="" textlink="">
      <cdr:nvSpPr>
        <cdr:cNvPr id="11" name="Textfeld 10"/>
        <cdr:cNvSpPr txBox="1"/>
      </cdr:nvSpPr>
      <cdr:spPr>
        <a:xfrm xmlns:a="http://schemas.openxmlformats.org/drawingml/2006/main">
          <a:off x="469590" y="1370890"/>
          <a:ext cx="513207" cy="13409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31</a:t>
          </a:r>
        </a:p>
      </cdr:txBody>
    </cdr:sp>
  </cdr:relSizeAnchor>
  <cdr:relSizeAnchor xmlns:cdr="http://schemas.openxmlformats.org/drawingml/2006/chartDrawing">
    <cdr:from>
      <cdr:x>0.11728</cdr:x>
      <cdr:y>0.61954</cdr:y>
    </cdr:from>
    <cdr:to>
      <cdr:x>0.36921</cdr:x>
      <cdr:y>0.75383</cdr:y>
    </cdr:to>
    <cdr:sp macro="" textlink="">
      <cdr:nvSpPr>
        <cdr:cNvPr id="12" name="Textfeld 11"/>
        <cdr:cNvSpPr txBox="1"/>
      </cdr:nvSpPr>
      <cdr:spPr>
        <a:xfrm xmlns:a="http://schemas.openxmlformats.org/drawingml/2006/main">
          <a:off x="218605" y="1050398"/>
          <a:ext cx="469590" cy="2276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32</a:t>
          </a:r>
        </a:p>
      </cdr:txBody>
    </cdr:sp>
  </cdr:relSizeAnchor>
  <cdr:relSizeAnchor xmlns:cdr="http://schemas.openxmlformats.org/drawingml/2006/chartDrawing">
    <cdr:from>
      <cdr:x>0.04157</cdr:x>
      <cdr:y>0.4159</cdr:y>
    </cdr:from>
    <cdr:to>
      <cdr:x>0.25717</cdr:x>
      <cdr:y>0.56368</cdr:y>
    </cdr:to>
    <cdr:sp macro="" textlink="">
      <cdr:nvSpPr>
        <cdr:cNvPr id="13" name="Textfeld 12"/>
        <cdr:cNvSpPr txBox="1"/>
      </cdr:nvSpPr>
      <cdr:spPr>
        <a:xfrm xmlns:a="http://schemas.openxmlformats.org/drawingml/2006/main">
          <a:off x="77487" y="705146"/>
          <a:ext cx="401872" cy="25055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33</a:t>
          </a:r>
        </a:p>
      </cdr:txBody>
    </cdr:sp>
  </cdr:relSizeAnchor>
  <cdr:relSizeAnchor xmlns:cdr="http://schemas.openxmlformats.org/drawingml/2006/chartDrawing">
    <cdr:from>
      <cdr:x>0.20354</cdr:x>
      <cdr:y>0.19781</cdr:y>
    </cdr:from>
    <cdr:to>
      <cdr:x>0.41914</cdr:x>
      <cdr:y>0.30439</cdr:y>
    </cdr:to>
    <cdr:sp macro="" textlink="">
      <cdr:nvSpPr>
        <cdr:cNvPr id="6" name="Textfeld 5">
          <a:extLst xmlns:a="http://schemas.openxmlformats.org/drawingml/2006/main">
            <a:ext uri="{FF2B5EF4-FFF2-40B4-BE49-F238E27FC236}">
              <a16:creationId xmlns:a16="http://schemas.microsoft.com/office/drawing/2014/main" id="{37C89BF0-9D3F-A731-7913-A48BA86F7925}"/>
            </a:ext>
          </a:extLst>
        </cdr:cNvPr>
        <cdr:cNvSpPr txBox="1"/>
      </cdr:nvSpPr>
      <cdr:spPr>
        <a:xfrm xmlns:a="http://schemas.openxmlformats.org/drawingml/2006/main">
          <a:off x="379388" y="335381"/>
          <a:ext cx="401872" cy="1807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34</a:t>
          </a:r>
        </a:p>
      </cdr:txBody>
    </cdr:sp>
  </cdr:relSizeAnchor>
</c:userShapes>
</file>

<file path=xl/drawings/drawing18.xml><?xml version="1.0" encoding="utf-8"?>
<c:userShapes xmlns:c="http://schemas.openxmlformats.org/drawingml/2006/chart">
  <cdr:relSizeAnchor xmlns:cdr="http://schemas.openxmlformats.org/drawingml/2006/chartDrawing">
    <cdr:from>
      <cdr:x>0.41804</cdr:x>
      <cdr:y>0.15659</cdr:y>
    </cdr:from>
    <cdr:to>
      <cdr:x>0.6277</cdr:x>
      <cdr:y>0.28134</cdr:y>
    </cdr:to>
    <cdr:sp macro="" textlink="">
      <cdr:nvSpPr>
        <cdr:cNvPr id="2" name="Textfeld 1"/>
        <cdr:cNvSpPr txBox="1"/>
      </cdr:nvSpPr>
      <cdr:spPr>
        <a:xfrm xmlns:a="http://schemas.openxmlformats.org/drawingml/2006/main">
          <a:off x="779207" y="265498"/>
          <a:ext cx="390800" cy="211507"/>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11</a:t>
          </a:r>
        </a:p>
      </cdr:txBody>
    </cdr:sp>
  </cdr:relSizeAnchor>
  <cdr:relSizeAnchor xmlns:cdr="http://schemas.openxmlformats.org/drawingml/2006/chartDrawing">
    <cdr:from>
      <cdr:x>0.73668</cdr:x>
      <cdr:y>0.40605</cdr:y>
    </cdr:from>
    <cdr:to>
      <cdr:x>0.90226</cdr:x>
      <cdr:y>0.52911</cdr:y>
    </cdr:to>
    <cdr:sp macro="" textlink="">
      <cdr:nvSpPr>
        <cdr:cNvPr id="3" name="Textfeld 2"/>
        <cdr:cNvSpPr txBox="1"/>
      </cdr:nvSpPr>
      <cdr:spPr>
        <a:xfrm xmlns:a="http://schemas.openxmlformats.org/drawingml/2006/main">
          <a:off x="1379325" y="688441"/>
          <a:ext cx="310022" cy="20864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600">
              <a:solidFill>
                <a:srgbClr val="C00000"/>
              </a:solidFill>
              <a:latin typeface="Verdana" panose="020B0604030504040204" pitchFamily="34" charset="0"/>
              <a:ea typeface="Verdana" panose="020B0604030504040204" pitchFamily="34" charset="0"/>
              <a:cs typeface="Verdana" panose="020B0604030504040204" pitchFamily="34" charset="0"/>
            </a:rPr>
            <a:t>12</a:t>
          </a:r>
        </a:p>
      </cdr:txBody>
    </cdr:sp>
  </cdr:relSizeAnchor>
  <cdr:relSizeAnchor xmlns:cdr="http://schemas.openxmlformats.org/drawingml/2006/chartDrawing">
    <cdr:from>
      <cdr:x>0.25568</cdr:x>
      <cdr:y>0.80664</cdr:y>
    </cdr:from>
    <cdr:to>
      <cdr:x>0.46735</cdr:x>
      <cdr:y>0.90889</cdr:y>
    </cdr:to>
    <cdr:sp macro="" textlink="">
      <cdr:nvSpPr>
        <cdr:cNvPr id="8" name="Textfeld 7"/>
        <cdr:cNvSpPr txBox="1"/>
      </cdr:nvSpPr>
      <cdr:spPr>
        <a:xfrm xmlns:a="http://schemas.openxmlformats.org/drawingml/2006/main">
          <a:off x="478723" y="1367612"/>
          <a:ext cx="396319" cy="17336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22</a:t>
          </a: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0.04845</cdr:x>
      <cdr:y>0.31509</cdr:y>
    </cdr:from>
    <cdr:to>
      <cdr:x>0.26405</cdr:x>
      <cdr:y>0.46287</cdr:y>
    </cdr:to>
    <cdr:sp macro="" textlink="">
      <cdr:nvSpPr>
        <cdr:cNvPr id="13" name="Textfeld 12"/>
        <cdr:cNvSpPr txBox="1"/>
      </cdr:nvSpPr>
      <cdr:spPr>
        <a:xfrm xmlns:a="http://schemas.openxmlformats.org/drawingml/2006/main">
          <a:off x="90714" y="534225"/>
          <a:ext cx="403677" cy="2505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34</a:t>
          </a:r>
        </a:p>
      </cdr:txBody>
    </cdr:sp>
  </cdr:relSizeAnchor>
  <cdr:relSizeAnchor xmlns:cdr="http://schemas.openxmlformats.org/drawingml/2006/chartDrawing">
    <cdr:from>
      <cdr:x>0.65432</cdr:x>
      <cdr:y>0.80199</cdr:y>
    </cdr:from>
    <cdr:to>
      <cdr:x>0.8199</cdr:x>
      <cdr:y>0.92504</cdr:y>
    </cdr:to>
    <cdr:sp macro="" textlink="">
      <cdr:nvSpPr>
        <cdr:cNvPr id="4" name="Textfeld 3">
          <a:extLst xmlns:a="http://schemas.openxmlformats.org/drawingml/2006/main">
            <a:ext uri="{FF2B5EF4-FFF2-40B4-BE49-F238E27FC236}">
              <a16:creationId xmlns:a16="http://schemas.microsoft.com/office/drawing/2014/main" id="{2B27095B-7BAE-99CD-DC2D-74B42471CD45}"/>
            </a:ext>
          </a:extLst>
        </cdr:cNvPr>
        <cdr:cNvSpPr txBox="1"/>
      </cdr:nvSpPr>
      <cdr:spPr>
        <a:xfrm xmlns:a="http://schemas.openxmlformats.org/drawingml/2006/main">
          <a:off x="1225110" y="1359726"/>
          <a:ext cx="310022" cy="20864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600">
              <a:solidFill>
                <a:srgbClr val="C00000"/>
              </a:solidFill>
              <a:latin typeface="Verdana" panose="020B0604030504040204" pitchFamily="34" charset="0"/>
              <a:ea typeface="Verdana" panose="020B0604030504040204" pitchFamily="34" charset="0"/>
              <a:cs typeface="Verdana" panose="020B0604030504040204" pitchFamily="34" charset="0"/>
            </a:rPr>
            <a:t>13</a:t>
          </a:r>
        </a:p>
      </cdr:txBody>
    </cdr:sp>
  </cdr:relSizeAnchor>
</c:userShapes>
</file>

<file path=xl/drawings/drawing19.xml><?xml version="1.0" encoding="utf-8"?>
<c:userShapes xmlns:c="http://schemas.openxmlformats.org/drawingml/2006/chart">
  <cdr:relSizeAnchor xmlns:cdr="http://schemas.openxmlformats.org/drawingml/2006/chartDrawing">
    <cdr:from>
      <cdr:x>0.43671</cdr:x>
      <cdr:y>0.24678</cdr:y>
    </cdr:from>
    <cdr:to>
      <cdr:x>0.64637</cdr:x>
      <cdr:y>0.37153</cdr:y>
    </cdr:to>
    <cdr:sp macro="" textlink="">
      <cdr:nvSpPr>
        <cdr:cNvPr id="2" name="Textfeld 1"/>
        <cdr:cNvSpPr txBox="1"/>
      </cdr:nvSpPr>
      <cdr:spPr>
        <a:xfrm xmlns:a="http://schemas.openxmlformats.org/drawingml/2006/main">
          <a:off x="849295" y="636796"/>
          <a:ext cx="407737" cy="32191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700">
              <a:solidFill>
                <a:srgbClr val="C00000"/>
              </a:solidFill>
              <a:latin typeface="+mn-lt"/>
              <a:ea typeface="Verdana" panose="020B0604030504040204" pitchFamily="34" charset="0"/>
              <a:cs typeface="Verdana" panose="020B0604030504040204" pitchFamily="34" charset="0"/>
            </a:rPr>
            <a:t>11</a:t>
          </a:r>
        </a:p>
      </cdr:txBody>
    </cdr:sp>
  </cdr:relSizeAnchor>
  <cdr:relSizeAnchor xmlns:cdr="http://schemas.openxmlformats.org/drawingml/2006/chartDrawing">
    <cdr:from>
      <cdr:x>0.64637</cdr:x>
      <cdr:y>0.33229</cdr:y>
    </cdr:from>
    <cdr:to>
      <cdr:x>0.86524</cdr:x>
      <cdr:y>0.44532</cdr:y>
    </cdr:to>
    <cdr:sp macro="" textlink="">
      <cdr:nvSpPr>
        <cdr:cNvPr id="3" name="Textfeld 2"/>
        <cdr:cNvSpPr txBox="1"/>
      </cdr:nvSpPr>
      <cdr:spPr>
        <a:xfrm xmlns:a="http://schemas.openxmlformats.org/drawingml/2006/main">
          <a:off x="1257032" y="857465"/>
          <a:ext cx="425649" cy="29166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de-CH" sz="600">
              <a:solidFill>
                <a:srgbClr val="C00000"/>
              </a:solidFill>
              <a:latin typeface="Verdana" panose="020B0604030504040204" pitchFamily="34" charset="0"/>
              <a:ea typeface="Verdana" panose="020B0604030504040204" pitchFamily="34" charset="0"/>
              <a:cs typeface="Verdana" panose="020B0604030504040204" pitchFamily="34" charset="0"/>
            </a:rPr>
            <a:t>12</a:t>
          </a:r>
        </a:p>
      </cdr:txBody>
    </cdr:sp>
  </cdr:relSizeAnchor>
  <cdr:relSizeAnchor xmlns:cdr="http://schemas.openxmlformats.org/drawingml/2006/chartDrawing">
    <cdr:from>
      <cdr:x>0.71787</cdr:x>
      <cdr:y>0.64033</cdr:y>
    </cdr:from>
    <cdr:to>
      <cdr:x>0.93784</cdr:x>
      <cdr:y>0.72964</cdr:y>
    </cdr:to>
    <cdr:sp macro="" textlink="">
      <cdr:nvSpPr>
        <cdr:cNvPr id="7" name="Textfeld 6"/>
        <cdr:cNvSpPr txBox="1"/>
      </cdr:nvSpPr>
      <cdr:spPr>
        <a:xfrm xmlns:a="http://schemas.openxmlformats.org/drawingml/2006/main">
          <a:off x="1392680" y="1629351"/>
          <a:ext cx="426747" cy="2272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21</a:t>
          </a:r>
        </a:p>
      </cdr:txBody>
    </cdr:sp>
  </cdr:relSizeAnchor>
  <cdr:relSizeAnchor xmlns:cdr="http://schemas.openxmlformats.org/drawingml/2006/chartDrawing">
    <cdr:from>
      <cdr:x>0.42171</cdr:x>
      <cdr:y>0.77451</cdr:y>
    </cdr:from>
    <cdr:to>
      <cdr:x>0.63338</cdr:x>
      <cdr:y>0.87676</cdr:y>
    </cdr:to>
    <cdr:sp macro="" textlink="">
      <cdr:nvSpPr>
        <cdr:cNvPr id="8" name="Textfeld 7"/>
        <cdr:cNvSpPr txBox="1"/>
      </cdr:nvSpPr>
      <cdr:spPr>
        <a:xfrm xmlns:a="http://schemas.openxmlformats.org/drawingml/2006/main">
          <a:off x="818123" y="1970784"/>
          <a:ext cx="410645" cy="26018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700">
              <a:solidFill>
                <a:schemeClr val="accent5"/>
              </a:solidFill>
              <a:latin typeface="+mn-lt"/>
              <a:ea typeface="Verdana" panose="020B0604030504040204" pitchFamily="34" charset="0"/>
              <a:cs typeface="Verdana" panose="020B0604030504040204" pitchFamily="34" charset="0"/>
            </a:rPr>
            <a:t>22</a:t>
          </a:r>
        </a:p>
      </cdr:txBody>
    </cdr:sp>
  </cdr:relSizeAnchor>
  <cdr:relSizeAnchor xmlns:cdr="http://schemas.openxmlformats.org/drawingml/2006/chartDrawing">
    <cdr:from>
      <cdr:x>0.06014</cdr:x>
      <cdr:y>0.63354</cdr:y>
    </cdr:from>
    <cdr:to>
      <cdr:x>0.0964</cdr:x>
      <cdr:y>0.67064</cdr:y>
    </cdr:to>
    <cdr:sp macro="" textlink="">
      <cdr:nvSpPr>
        <cdr:cNvPr id="9" name="Textfeld 8"/>
        <cdr:cNvSpPr txBox="1"/>
      </cdr:nvSpPr>
      <cdr:spPr>
        <a:xfrm xmlns:a="http://schemas.openxmlformats.org/drawingml/2006/main">
          <a:off x="291610" y="2377584"/>
          <a:ext cx="175847" cy="1392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0.13896</cdr:x>
      <cdr:y>0.64662</cdr:y>
    </cdr:from>
    <cdr:to>
      <cdr:x>0.63867</cdr:x>
      <cdr:y>0.75095</cdr:y>
    </cdr:to>
    <cdr:sp macro="" textlink="">
      <cdr:nvSpPr>
        <cdr:cNvPr id="12" name="Textfeld 11"/>
        <cdr:cNvSpPr txBox="1"/>
      </cdr:nvSpPr>
      <cdr:spPr>
        <a:xfrm xmlns:a="http://schemas.openxmlformats.org/drawingml/2006/main">
          <a:off x="269592" y="1645350"/>
          <a:ext cx="969449" cy="26547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31</a:t>
          </a:r>
        </a:p>
      </cdr:txBody>
    </cdr:sp>
  </cdr:relSizeAnchor>
  <cdr:relSizeAnchor xmlns:cdr="http://schemas.openxmlformats.org/drawingml/2006/chartDrawing">
    <cdr:from>
      <cdr:x>0.1131</cdr:x>
      <cdr:y>0.40573</cdr:y>
    </cdr:from>
    <cdr:to>
      <cdr:x>0.3287</cdr:x>
      <cdr:y>0.51231</cdr:y>
    </cdr:to>
    <cdr:sp macro="" textlink="">
      <cdr:nvSpPr>
        <cdr:cNvPr id="6" name="Textfeld 5">
          <a:extLst xmlns:a="http://schemas.openxmlformats.org/drawingml/2006/main">
            <a:ext uri="{FF2B5EF4-FFF2-40B4-BE49-F238E27FC236}">
              <a16:creationId xmlns:a16="http://schemas.microsoft.com/office/drawing/2014/main" id="{37C89BF0-9D3F-A731-7913-A48BA86F7925}"/>
            </a:ext>
          </a:extLst>
        </cdr:cNvPr>
        <cdr:cNvSpPr txBox="1"/>
      </cdr:nvSpPr>
      <cdr:spPr>
        <a:xfrm xmlns:a="http://schemas.openxmlformats.org/drawingml/2006/main">
          <a:off x="219408" y="1032405"/>
          <a:ext cx="418269" cy="27119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600">
              <a:solidFill>
                <a:schemeClr val="accent6">
                  <a:lumMod val="75000"/>
                </a:schemeClr>
              </a:solidFill>
              <a:latin typeface="Verdana" panose="020B0604030504040204" pitchFamily="34" charset="0"/>
              <a:ea typeface="Verdana" panose="020B0604030504040204" pitchFamily="34" charset="0"/>
              <a:cs typeface="Verdana" panose="020B0604030504040204" pitchFamily="34" charset="0"/>
            </a:rPr>
            <a:t>32</a:t>
          </a:r>
        </a:p>
      </cdr:txBody>
    </cdr:sp>
  </cdr:relSizeAnchor>
</c:userShapes>
</file>

<file path=xl/persons/person.xml><?xml version="1.0" encoding="utf-8"?>
<personList xmlns="http://schemas.microsoft.com/office/spreadsheetml/2018/threadedcomments" xmlns:x="http://schemas.openxmlformats.org/spreadsheetml/2006/main">
  <person displayName="Domingo Irigoyen Silvia HSLU T&amp;A" id="{6A9DC051-E1F1-4A21-95ED-D4CB312186D5}" userId="S::silvia.domingo@hslu.ch::a998e400-0eba-4747-b1f7-8a3c033cf390" providerId="AD"/>
  <person displayName="Dugaria Simone HSLU T&amp;A" id="{8ADB31A9-5899-466F-B01F-413674B06EE3}" userId="S::simone.dugaria@hslu.ch::366bb397-a0b1-47ad-8615-b58329602863" providerId="AD"/>
</personList>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9.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0.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4.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5.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6.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7.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8.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9.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0.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4.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5.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6.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7.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8.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9.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0.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4.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5.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6.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7.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8.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9.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0.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4.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5.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6.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7.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8.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9.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0.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1.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2.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3.xml><?xml version="1.0" encoding="utf-8"?>
<a:themeOverride xmlns:a="http://schemas.openxmlformats.org/drawingml/2006/main">
  <a:clrScheme name="Benutzerdefiniert 1">
    <a:dk1>
      <a:sysClr val="windowText" lastClr="000000"/>
    </a:dk1>
    <a:lt1>
      <a:sysClr val="window" lastClr="FFFFFF"/>
    </a:lt1>
    <a:dk2>
      <a:srgbClr val="44546A"/>
    </a:dk2>
    <a:lt2>
      <a:srgbClr val="E7E6E6"/>
    </a:lt2>
    <a:accent1>
      <a:srgbClr val="FFD1D1"/>
    </a:accent1>
    <a:accent2>
      <a:srgbClr val="CDF2FF"/>
    </a:accent2>
    <a:accent3>
      <a:srgbClr val="DFF1CB"/>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I35" dT="2024-09-04T13:23:06.58" personId="{8ADB31A9-5899-466F-B01F-413674B06EE3}" id="{CDA133CB-86F0-4A28-9FF2-015A2175DDAE}">
    <text>im Italienischen gibt es keinen gleichwertigen Begriff (oder ich weiß es nicht); vielleicht gibt es einen gleichwertigen Begriff in der italienischen Schweiz</text>
  </threadedComment>
  <threadedComment ref="I109" dT="2024-09-04T13:55:39.71" personId="{8ADB31A9-5899-466F-B01F-413674B06EE3}" id="{59DB1526-98EA-40AF-8E44-F7A90B7FE056}">
    <text>Ich habe keine Ahnung, was hier gemeint ist, also kann ich bei der Übersetzung nicht viel helfen.</text>
  </threadedComment>
  <threadedComment ref="G149" dT="2024-08-18T07:45:48.76" personId="{6A9DC051-E1F1-4A21-95ED-D4CB312186D5}" id="{E40D5350-9673-422C-B2DC-654C0D2E0682}">
    <text xml:space="preserve">Wenn man mit Ja antwortet, was bedeutet das? --&gt; keine raumhohen Verglasung?
Auf französisch auch?
</text>
  </threadedComment>
  <threadedComment ref="I338" dT="2024-09-04T14:02:52.92" personId="{8ADB31A9-5899-466F-B01F-413674B06EE3}" id="{C14017B7-E398-4049-92FC-23C04FA86D76}">
    <text xml:space="preserve">Name und Akronym zu überprüfen </text>
  </threadedComment>
  <threadedComment ref="I381" dT="2024-08-02T13:41:23.79" personId="{6A9DC051-E1F1-4A21-95ED-D4CB312186D5}" id="{A25A1C41-D552-4D4E-8460-B102FEE8D54E}">
    <text>Kriterien 205-1 Erreichbarkeit - Weg</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nnbs.ch/standard-snbs-hochbau" TargetMode="External"/><Relationship Id="rId2" Type="http://schemas.openxmlformats.org/officeDocument/2006/relationships/hyperlink" Target="http://www.nnbs.ch/" TargetMode="External"/><Relationship Id="rId1" Type="http://schemas.openxmlformats.org/officeDocument/2006/relationships/hyperlink" Target="http://www.snbs.ch/"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shop.sia.ch/normenwerk/architekt/382-1_2014_d/D/Product" TargetMode="External"/><Relationship Id="rId18" Type="http://schemas.openxmlformats.org/officeDocument/2006/relationships/hyperlink" Target="https://www.bafu.admin.ch/bafu/de/home/themen/luft/publikationen-studien/publikationen/luftreinhaltung-auf-baustellen.html" TargetMode="External"/><Relationship Id="rId26" Type="http://schemas.openxmlformats.org/officeDocument/2006/relationships/hyperlink" Target="http://shop.sia.ch/normenwerk/ingenieur/142_2009_d/D/Product" TargetMode="External"/><Relationship Id="rId39" Type="http://schemas.openxmlformats.org/officeDocument/2006/relationships/hyperlink" Target="https://s.geo.admin.ch/94e9d38450" TargetMode="External"/><Relationship Id="rId21" Type="http://schemas.openxmlformats.org/officeDocument/2006/relationships/hyperlink" Target="https://www.astra.admin.ch/astra/de/home/themen/langsamverkehr.html" TargetMode="External"/><Relationship Id="rId34" Type="http://schemas.openxmlformats.org/officeDocument/2006/relationships/hyperlink" Target="https://shop.sia.ch/normenwerk/architekt/sia%202048/d/D/Product" TargetMode="External"/><Relationship Id="rId7" Type="http://schemas.openxmlformats.org/officeDocument/2006/relationships/hyperlink" Target="https://shop.sia.ch/normenwerk/architekt/sia%20500/d/D/Product" TargetMode="External"/><Relationship Id="rId12" Type="http://schemas.openxmlformats.org/officeDocument/2006/relationships/hyperlink" Target="https://shop.sia.ch/normenwerk/ingenieur/431_2022_d/D/Product" TargetMode="External"/><Relationship Id="rId17" Type="http://schemas.openxmlformats.org/officeDocument/2006/relationships/hyperlink" Target="https://www.bafu.admin.ch/bafu/de/home/themen/boden/publikationen-studien/publikationen/bodenschutz-auf-der-baustelle.html" TargetMode="External"/><Relationship Id="rId25" Type="http://schemas.openxmlformats.org/officeDocument/2006/relationships/hyperlink" Target="https://www.bafu.admin.ch/bafu/de/home/themen/naturgefahren/fachinformationen/naturgefahrensituation-und-raumnutzung/gefahrengrundlagen/gefahrenkarten--intensitaetskarten-und-gefahrenhinweiskarten.html" TargetMode="External"/><Relationship Id="rId33" Type="http://schemas.openxmlformats.org/officeDocument/2006/relationships/hyperlink" Target="https://shop.sia.ch/normenwerk/architekt/2040_2017_d/D/Product" TargetMode="External"/><Relationship Id="rId38" Type="http://schemas.openxmlformats.org/officeDocument/2006/relationships/hyperlink" Target="https://s.geo.admin.ch/71b4b8ef4c" TargetMode="External"/><Relationship Id="rId2" Type="http://schemas.openxmlformats.org/officeDocument/2006/relationships/hyperlink" Target="https://www.minergie.ch/de/zertifizieren/eco/" TargetMode="External"/><Relationship Id="rId16" Type="http://schemas.openxmlformats.org/officeDocument/2006/relationships/hyperlink" Target="https://www.suva.ch/de-CH/material/Dokumentationen/akustische-grenz-und-richtwerte" TargetMode="External"/><Relationship Id="rId20" Type="http://schemas.openxmlformats.org/officeDocument/2006/relationships/hyperlink" Target="https://www.eco-bau.ch/index.cfm?Nav=50&amp;Sec=/11/1/11/130/" TargetMode="External"/><Relationship Id="rId29" Type="http://schemas.openxmlformats.org/officeDocument/2006/relationships/hyperlink" Target="https://shop.sia.ch/normenwerk/architekt/sia%20113/d/D/Product" TargetMode="External"/><Relationship Id="rId1" Type="http://schemas.openxmlformats.org/officeDocument/2006/relationships/hyperlink" Target="https://www.google.com/maps" TargetMode="External"/><Relationship Id="rId6" Type="http://schemas.openxmlformats.org/officeDocument/2006/relationships/hyperlink" Target="https://shop.sia.ch/normenwerk/architekt/180_2014_d/D/Product" TargetMode="External"/><Relationship Id="rId11" Type="http://schemas.openxmlformats.org/officeDocument/2006/relationships/hyperlink" Target="https://shop.sia.ch/normenwerk/architekt/387-4_2023_d/D/Product" TargetMode="External"/><Relationship Id="rId24" Type="http://schemas.openxmlformats.org/officeDocument/2006/relationships/hyperlink" Target="chrome-extension://efaidnbmnnnibpcajpcglclefindmkaj/https:/cms.sia.ch/sites/default/files/2024-03/Klimaszenarien_DT_23_01__002_.pdf" TargetMode="External"/><Relationship Id="rId32" Type="http://schemas.openxmlformats.org/officeDocument/2006/relationships/hyperlink" Target="https://shop.sia.ch/normenwerk/architekt/380-1_2016_d/D/Product" TargetMode="External"/><Relationship Id="rId37" Type="http://schemas.openxmlformats.org/officeDocument/2006/relationships/hyperlink" Target="http://www.atlas.bfs.admin.ch/maps/13/de/10447_10446_3191_227/17718.html" TargetMode="External"/><Relationship Id="rId40" Type="http://schemas.openxmlformats.org/officeDocument/2006/relationships/printerSettings" Target="../printerSettings/printerSettings5.bin"/><Relationship Id="rId5" Type="http://schemas.openxmlformats.org/officeDocument/2006/relationships/hyperlink" Target="https://shop.sia.ch/normenwerk/architekt/181_2006_d/D/Product" TargetMode="External"/><Relationship Id="rId15" Type="http://schemas.openxmlformats.org/officeDocument/2006/relationships/hyperlink" Target="https://connect.snv.ch/de/sn-en-17037a1-2021" TargetMode="External"/><Relationship Id="rId23" Type="http://schemas.openxmlformats.org/officeDocument/2006/relationships/hyperlink" Target="https://www.nccs.admin.ch/nccs/de/home/das-nccs/themenschwerpunkte/weitere-fachliche-aktivitaeten/klimaangepasstes-bauen.html" TargetMode="External"/><Relationship Id="rId28" Type="http://schemas.openxmlformats.org/officeDocument/2006/relationships/hyperlink" Target="http://shop.sia.ch/normenwerk/architekt/144_2022_d/D/Product" TargetMode="External"/><Relationship Id="rId36" Type="http://schemas.openxmlformats.org/officeDocument/2006/relationships/hyperlink" Target="http://www.schutz-vor-naturgefahren.ch/snbs" TargetMode="External"/><Relationship Id="rId10" Type="http://schemas.openxmlformats.org/officeDocument/2006/relationships/hyperlink" Target="https://shop.sia.ch/normenwerk/architekt/2039_2016_d/D/Product" TargetMode="External"/><Relationship Id="rId19" Type="http://schemas.openxmlformats.org/officeDocument/2006/relationships/hyperlink" Target="https://www.bafu.admin.ch/bafu/de/home/themen/laerm/publikationen-studien/publikationen/baulaerm-richtlinie.html" TargetMode="External"/><Relationship Id="rId31" Type="http://schemas.openxmlformats.org/officeDocument/2006/relationships/hyperlink" Target="https://shop.sia.ch/normenwerk/ingenieur/261-1_2020_d/D/Product" TargetMode="External"/><Relationship Id="rId4" Type="http://schemas.openxmlformats.org/officeDocument/2006/relationships/hyperlink" Target="https://www.seco.admin.ch/seco/de/home/Arbeit/Arbeitsbedingungen/Arbeitsgesetz-und-Verordnungen/Wegleitungen/wegleitung-zur-argv-3.html" TargetMode="External"/><Relationship Id="rId9" Type="http://schemas.openxmlformats.org/officeDocument/2006/relationships/hyperlink" Target="https://shop.sia.ch/normenwerk/architekt/2032_2020_d/D/Product" TargetMode="External"/><Relationship Id="rId14" Type="http://schemas.openxmlformats.org/officeDocument/2006/relationships/hyperlink" Target="https://www.stadt-zuerich.ch/content/dam/stzh/hbd/Deutsch/Hochbau/Weitere%20Dokumente/Fachstellen/Energie-Gebaeudetechnik/Richtlinien_Standards_Formulare/Elektro/Planungsrichtlinie-Nichtionisierende-Strahlung-PR-NIS.pdf" TargetMode="External"/><Relationship Id="rId22" Type="http://schemas.openxmlformats.org/officeDocument/2006/relationships/hyperlink" Target="https://bwa-smile.ch/" TargetMode="External"/><Relationship Id="rId27" Type="http://schemas.openxmlformats.org/officeDocument/2006/relationships/hyperlink" Target="http://shop.sia.ch/normenwerk/ingenieur/sia%20143/d/D/Product" TargetMode="External"/><Relationship Id="rId30" Type="http://schemas.openxmlformats.org/officeDocument/2006/relationships/hyperlink" Target="https://shop.sia.ch/normenwerk/architekt/181_2020_d/D/Product" TargetMode="External"/><Relationship Id="rId35" Type="http://schemas.openxmlformats.org/officeDocument/2006/relationships/hyperlink" Target="http://www.ifma.ch/de/produkte-standards/lebenszykluskosten" TargetMode="External"/><Relationship Id="rId8" Type="http://schemas.openxmlformats.org/officeDocument/2006/relationships/hyperlink" Target="https://shop.sia.ch/normenwerk/architekt/261_2020_d/D/Product" TargetMode="External"/><Relationship Id="rId3" Type="http://schemas.openxmlformats.org/officeDocument/2006/relationships/hyperlink" Target="https://www.beuth.de/en/standard/din-18041/2453567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4.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01">
    <pageSetUpPr fitToPage="1"/>
  </sheetPr>
  <dimension ref="A1:V912"/>
  <sheetViews>
    <sheetView showGridLines="0" showRowColHeaders="0" tabSelected="1" zoomScaleNormal="100" workbookViewId="0">
      <selection activeCell="G2" sqref="G2:S2"/>
    </sheetView>
  </sheetViews>
  <sheetFormatPr baseColWidth="10" defaultColWidth="11.453125" defaultRowHeight="14.5" zeroHeight="1"/>
  <cols>
    <col min="1" max="1" width="1.54296875" customWidth="1"/>
    <col min="2" max="2" width="5.453125" customWidth="1"/>
    <col min="3" max="3" width="1.54296875" customWidth="1"/>
    <col min="4" max="4" width="25.54296875" customWidth="1"/>
    <col min="5" max="5" width="1.54296875" customWidth="1"/>
    <col min="6" max="6" width="5.453125" customWidth="1"/>
    <col min="7" max="7" width="18.54296875" customWidth="1"/>
    <col min="8" max="8" width="1.54296875" customWidth="1"/>
    <col min="9" max="9" width="5.453125" customWidth="1"/>
    <col min="10" max="10" width="18.54296875" customWidth="1"/>
    <col min="11" max="11" width="1.54296875" customWidth="1"/>
    <col min="12" max="12" width="5.453125" customWidth="1"/>
    <col min="13" max="13" width="18.54296875" customWidth="1"/>
    <col min="14" max="14" width="5.453125" customWidth="1"/>
    <col min="15" max="15" width="1.54296875" customWidth="1"/>
    <col min="16" max="16" width="18.54296875" customWidth="1"/>
    <col min="17" max="17" width="1.54296875" customWidth="1"/>
    <col min="18" max="18" width="5.453125" customWidth="1"/>
    <col min="19" max="19" width="18.54296875" customWidth="1"/>
    <col min="20" max="20" width="1.54296875" customWidth="1"/>
    <col min="21" max="21" width="5.453125" customWidth="1"/>
    <col min="22" max="22" width="18.54296875" customWidth="1"/>
    <col min="23" max="23" width="1.54296875" customWidth="1"/>
    <col min="24" max="24" width="5.453125" customWidth="1"/>
    <col min="25" max="25" width="18.54296875" customWidth="1"/>
    <col min="26" max="16383" width="0" hidden="1" customWidth="1"/>
    <col min="16384" max="16384" width="1.54296875" customWidth="1"/>
  </cols>
  <sheetData>
    <row r="1" spans="1:22" s="48" customFormat="1" ht="30" customHeight="1"/>
    <row r="2" spans="1:22" s="1" customFormat="1" ht="30" customHeight="1">
      <c r="G2" s="1687" t="str">
        <f>Text!C312</f>
        <v>Pre-Check SNBS 2023.1 Hochbau</v>
      </c>
      <c r="H2" s="1687"/>
      <c r="I2" s="1687"/>
      <c r="J2" s="1687"/>
      <c r="K2" s="1687"/>
      <c r="L2" s="1687"/>
      <c r="M2" s="1687"/>
      <c r="N2" s="1687"/>
      <c r="O2" s="1687"/>
      <c r="P2" s="1687"/>
      <c r="Q2" s="1687"/>
      <c r="R2" s="1687"/>
      <c r="S2" s="1687"/>
      <c r="V2" s="976" t="str">
        <f>Text!$C$39</f>
        <v>SNBS-HOCHBAU</v>
      </c>
    </row>
    <row r="3" spans="1:22" s="1" customFormat="1" ht="23.15" customHeight="1">
      <c r="D3" s="48"/>
      <c r="G3" s="1674"/>
      <c r="H3" s="1675"/>
      <c r="I3" s="1675"/>
      <c r="J3" s="1675"/>
      <c r="K3" s="1675"/>
      <c r="L3" s="1675"/>
      <c r="M3" s="1675"/>
      <c r="N3" s="1675"/>
      <c r="O3" s="1675"/>
      <c r="P3" s="1675"/>
      <c r="Q3" s="1675"/>
      <c r="R3" s="1675"/>
      <c r="S3" s="1675"/>
      <c r="V3" s="1127" t="str">
        <f>Text!$C$40</f>
        <v>Version 2023.1</v>
      </c>
    </row>
    <row r="4" spans="1:22" s="1" customFormat="1" ht="26.5" customHeight="1">
      <c r="M4" s="51"/>
    </row>
    <row r="5" spans="1:22" s="1" customFormat="1" ht="25.5">
      <c r="G5" s="1676" t="s">
        <v>528</v>
      </c>
      <c r="H5" s="1676"/>
      <c r="I5" s="1676"/>
      <c r="J5" s="1676"/>
      <c r="K5" s="1676"/>
      <c r="L5" s="1676"/>
      <c r="M5" s="1676"/>
      <c r="N5" s="1676"/>
      <c r="O5" s="1676"/>
      <c r="P5" s="1676"/>
      <c r="Q5" s="1676"/>
      <c r="R5" s="1676"/>
      <c r="S5" s="1676"/>
      <c r="V5" s="975"/>
    </row>
    <row r="6" spans="1:22" s="1" customFormat="1" ht="30" customHeight="1" thickBot="1">
      <c r="V6" s="976"/>
    </row>
    <row r="7" spans="1:22" s="1" customFormat="1" ht="30" customHeight="1" thickBot="1">
      <c r="H7" s="1684"/>
      <c r="I7" s="1685"/>
      <c r="J7" s="1685"/>
      <c r="K7" s="1685"/>
      <c r="L7" s="1685"/>
      <c r="M7" s="1685"/>
      <c r="N7" s="1685"/>
      <c r="O7" s="1685"/>
      <c r="P7" s="1685"/>
      <c r="Q7" s="1685"/>
      <c r="R7" s="1686"/>
    </row>
    <row r="8" spans="1:22" s="1" customFormat="1" ht="30" customHeight="1" thickTop="1">
      <c r="J8" s="176"/>
      <c r="K8" s="176"/>
      <c r="L8" s="176"/>
      <c r="M8" s="176"/>
      <c r="N8" s="176"/>
      <c r="O8" s="176"/>
      <c r="P8" s="176"/>
    </row>
    <row r="9" spans="1:22" s="1" customFormat="1" ht="20.149999999999999" customHeight="1" thickBot="1">
      <c r="G9" s="46"/>
      <c r="H9" s="1678" t="s">
        <v>26</v>
      </c>
      <c r="I9" s="1679"/>
      <c r="J9" s="1680"/>
      <c r="K9" s="173"/>
      <c r="L9" s="1678" t="s">
        <v>29</v>
      </c>
      <c r="M9" s="1679"/>
      <c r="N9" s="1680"/>
      <c r="O9" s="174"/>
      <c r="P9" s="1678" t="s">
        <v>527</v>
      </c>
      <c r="Q9" s="1679"/>
      <c r="R9" s="1680"/>
      <c r="S9" s="46"/>
      <c r="T9" s="46"/>
    </row>
    <row r="10" spans="1:22" s="1" customFormat="1" ht="20.149999999999999" customHeight="1" thickTop="1">
      <c r="G10" s="46"/>
      <c r="H10" s="46"/>
      <c r="I10" s="46"/>
      <c r="J10" s="24"/>
      <c r="K10" s="174"/>
      <c r="L10" s="174"/>
      <c r="M10" s="174"/>
      <c r="N10" s="174"/>
      <c r="O10" s="174"/>
      <c r="P10" s="24"/>
      <c r="Q10" s="46"/>
      <c r="R10" s="46"/>
      <c r="S10" s="46"/>
      <c r="T10" s="46"/>
    </row>
    <row r="11" spans="1:22" s="1" customFormat="1" ht="20.149999999999999" hidden="1" customHeight="1" thickBot="1">
      <c r="G11" s="46"/>
      <c r="H11" s="46"/>
      <c r="I11" s="46"/>
      <c r="J11" s="175"/>
      <c r="K11" s="174"/>
      <c r="L11" s="1681" t="str">
        <f>IF(Tool!$H$7="Français",
"Vers l'intro",IF(Tool!$H$7="Italiano",
"All'intro",
"Zum Intro"))</f>
        <v>Zum Intro</v>
      </c>
      <c r="M11" s="1682"/>
      <c r="N11" s="1683"/>
      <c r="O11" s="174"/>
      <c r="P11" s="175"/>
      <c r="Q11" s="46"/>
      <c r="R11" s="46"/>
      <c r="S11" s="46"/>
      <c r="T11" s="46"/>
    </row>
    <row r="12" spans="1:22" s="1" customFormat="1" ht="20.149999999999999" hidden="1" customHeight="1" thickTop="1">
      <c r="G12" s="46"/>
      <c r="H12" s="46"/>
      <c r="I12" s="46"/>
      <c r="J12" s="175"/>
      <c r="K12" s="174"/>
      <c r="L12" s="174"/>
      <c r="M12" s="747"/>
      <c r="N12" s="174"/>
      <c r="O12" s="174"/>
      <c r="P12" s="175"/>
      <c r="Q12" s="46"/>
      <c r="R12" s="46"/>
      <c r="S12" s="46"/>
      <c r="T12" s="46"/>
    </row>
    <row r="13" spans="1:22" s="1" customFormat="1" ht="163" hidden="1" customHeight="1">
      <c r="G13" s="1688" t="str">
        <f>_xlfn.TEXTJOIN(CHAR(10),FALSE,Text!C333,Text!C1, Text!C334, Text!C1, Text!C335)</f>
        <v>Der ''Pre-Check SNBS 2023.1 Hochbau'' ermöglicht es, innerhalb von nur 30 bis 120 Minuten durch die Beantwortung einfacher Fragen, Aussagen zur Nachhaltigkeit eines Projekts zu erhalten. Dabei werden in einer frühen Phase des Bauvorhabens Stolpersteine identifiziert, welche eine gesamtheitlich genügende Nachhaltigkeitsbewertung gefährden. Verbesserungsmassnahmen können dadurch frühzeitig eingeleitet werden.
Bei der erstmaligen Pre-Check-Benutzung kann der kurze Erläuterungstext (Blatt Intro) hilfreich sein.
Der Pre-Check kann jedoch auch problemlos direkt mit dem Fragenkatalog gestartet werden. Versuchen Sie bei einer ersten Projektbewertung bzw. bei einer ersten Bearbeitung des Fragenkatalogs möglichst spontane Antworten zu geben. Wo sie sich nicht sicher sind, wählen Sie einfach die Option «weiss nicht». Das Tool ist so aufgebaut, dass solche Antworten entsprechend bewertet oder zu spezifischeren Fragen zum Thema führen.</v>
      </c>
      <c r="H13" s="1688"/>
      <c r="I13" s="1688"/>
      <c r="J13" s="1688"/>
      <c r="K13" s="1688"/>
      <c r="L13" s="1688"/>
      <c r="M13" s="1688"/>
      <c r="N13" s="1688"/>
      <c r="O13" s="1688"/>
      <c r="P13" s="1688"/>
      <c r="Q13" s="1688"/>
      <c r="R13" s="1688"/>
      <c r="S13" s="1688"/>
      <c r="T13" s="46"/>
    </row>
    <row r="14" spans="1:22" s="11" customFormat="1" ht="119.5" hidden="1" customHeight="1">
      <c r="G14" s="1689" t="str">
        <f>Text!C324</f>
        <v>Beim ''Klima-Check SNBS 2023.1 Hochbau'' handelt es sich um ein fakultativ anwendbares Zusatzmodul zum ''Pre-Check SNBS 2023.1 Hochbau''. Es ermittelt die Klimawandelgerechtigkeit eines Bauvorhabens. Das heisst, es ermittelt einerseits, inwiefern das untersuchte Gebäude auf das Klima der Zukunft vorbereitet ist, und andererseits, ob es einen Beitrag zur Minderung des Klimawandels leistet. Die Fragenbeantwortung zum ''Klima-Check'' stützt sich auf die SNBS-Kriterienstruktur ab und erfolgt demnach parallel zur ''Pre-Check''-Abfrage. Es ist jedoch durchaus möglich, nur eines der beiden Module – ''Pre-Check'' oder ''Klima-Check'' – im vorliegenden Tool anzuwenden. Eine detaillierte Erklärung von den beiden Modulen ist im Register ''Intro'' verfügbar. Es wird jederzeit möglich, ein anderes Modul zu wählen.</v>
      </c>
      <c r="H14" s="1690"/>
      <c r="I14" s="1690"/>
      <c r="J14" s="1690"/>
      <c r="K14" s="1690"/>
      <c r="L14" s="1690"/>
      <c r="M14" s="1690"/>
      <c r="N14" s="1690"/>
      <c r="O14" s="1690"/>
      <c r="P14" s="1690"/>
      <c r="Q14" s="1690"/>
      <c r="R14" s="1690"/>
      <c r="S14" s="1690"/>
      <c r="T14" s="6"/>
    </row>
    <row r="15" spans="1:22" s="1" customFormat="1" ht="20.149999999999999" hidden="1" customHeight="1">
      <c r="G15" s="46"/>
      <c r="H15" s="46"/>
      <c r="I15" s="46"/>
      <c r="J15" s="175"/>
      <c r="K15" s="174"/>
      <c r="L15" s="174"/>
      <c r="M15" s="174"/>
      <c r="N15" s="174"/>
      <c r="O15" s="174"/>
      <c r="P15" s="175"/>
      <c r="Q15" s="46"/>
      <c r="R15" s="46"/>
      <c r="S15" s="46"/>
      <c r="T15" s="46"/>
    </row>
    <row r="16" spans="1:22" s="1" customFormat="1" ht="21" hidden="1">
      <c r="G16" s="1676" t="s">
        <v>529</v>
      </c>
      <c r="H16" s="1676"/>
      <c r="I16" s="1676"/>
      <c r="J16" s="1676"/>
      <c r="K16" s="1676"/>
      <c r="L16" s="1676"/>
      <c r="M16" s="1676"/>
      <c r="N16" s="1676"/>
      <c r="O16" s="1676"/>
      <c r="P16" s="1676"/>
      <c r="Q16" s="1676"/>
      <c r="R16" s="1676"/>
      <c r="S16" s="1676"/>
    </row>
    <row r="17" spans="7:20" s="1" customFormat="1" ht="30" hidden="1" customHeight="1" thickBot="1"/>
    <row r="18" spans="7:20" s="1" customFormat="1" ht="30" hidden="1" customHeight="1" thickBot="1">
      <c r="H18" s="1684"/>
      <c r="I18" s="1685"/>
      <c r="J18" s="1685"/>
      <c r="K18" s="1685"/>
      <c r="L18" s="1685"/>
      <c r="M18" s="1685"/>
      <c r="N18" s="1685"/>
      <c r="O18" s="1685"/>
      <c r="P18" s="1685"/>
      <c r="Q18" s="1685"/>
      <c r="R18" s="1686"/>
    </row>
    <row r="19" spans="7:20" s="1" customFormat="1" ht="30" hidden="1" customHeight="1" thickTop="1">
      <c r="J19" s="176"/>
      <c r="K19" s="176"/>
      <c r="L19" s="176"/>
      <c r="M19" s="176"/>
      <c r="N19" s="176"/>
      <c r="O19" s="176"/>
      <c r="P19" s="176"/>
    </row>
    <row r="20" spans="7:20" s="1" customFormat="1" ht="20.149999999999999" hidden="1" customHeight="1" thickBot="1">
      <c r="G20" s="46"/>
      <c r="H20" s="1678" t="s">
        <v>450</v>
      </c>
      <c r="I20" s="1679"/>
      <c r="J20" s="1680"/>
      <c r="K20" s="173"/>
      <c r="L20" s="1678" t="str">
        <f>IF(Tool!$H$7="Français",
"Pre-Check &amp; Check Climat",IF(Tool!$H$7="Italiano",
"Pre-Check &amp; Check Clima",
"Pre-Check &amp; Klima-Check"))</f>
        <v>Pre-Check &amp; Klima-Check</v>
      </c>
      <c r="M20" s="1679"/>
      <c r="N20" s="1680"/>
      <c r="O20" s="174"/>
      <c r="P20" s="1678" t="str">
        <f>IF(Tool!$H$7="Français",
"Check Climat",IF(Tool!$H$7="Italiano",
"Check Clima",
"Klima-Check"))</f>
        <v>Klima-Check</v>
      </c>
      <c r="Q20" s="1679"/>
      <c r="R20" s="1680"/>
      <c r="S20" s="46"/>
      <c r="T20" s="46"/>
    </row>
    <row r="21" spans="7:20" s="1" customFormat="1" ht="20.149999999999999" hidden="1" customHeight="1" thickTop="1">
      <c r="G21" s="46"/>
      <c r="H21" s="46"/>
      <c r="I21" s="46"/>
      <c r="J21" s="24"/>
      <c r="K21" s="174"/>
      <c r="L21" s="1677"/>
      <c r="M21" s="1677"/>
      <c r="N21" s="1677"/>
      <c r="O21" s="174"/>
      <c r="P21" s="24"/>
      <c r="Q21" s="46"/>
      <c r="R21" s="46"/>
      <c r="S21" s="46"/>
      <c r="T21" s="46"/>
    </row>
    <row r="22" spans="7:20" s="1" customFormat="1" ht="20.149999999999999" hidden="1" customHeight="1" thickBot="1">
      <c r="G22" s="46"/>
      <c r="H22" s="46"/>
      <c r="I22" s="46"/>
      <c r="J22" s="24"/>
      <c r="L22" s="1681" t="str">
        <f>IF(Tool!$H$7="Français",
"Vers l'intro",IF(Tool!$H$7="Italiano",
"All'intro",
"Zum Intro"))</f>
        <v>Zum Intro</v>
      </c>
      <c r="M22" s="1682"/>
      <c r="N22" s="1683"/>
      <c r="O22"/>
      <c r="P22" s="1681" t="str">
        <f>Text!C317</f>
        <v>Zum Fragenkatalog</v>
      </c>
      <c r="Q22" s="1682"/>
      <c r="R22" s="1683"/>
      <c r="S22" s="46"/>
      <c r="T22" s="46"/>
    </row>
    <row r="23" spans="7:20" s="1" customFormat="1" ht="20.149999999999999" customHeight="1">
      <c r="G23" s="46"/>
      <c r="H23" s="46"/>
      <c r="I23" s="46"/>
      <c r="J23" s="24"/>
      <c r="K23" s="174"/>
      <c r="L23" s="24"/>
      <c r="M23" s="24"/>
      <c r="N23" s="24"/>
      <c r="O23" s="174"/>
      <c r="P23" s="24"/>
      <c r="Q23" s="46"/>
      <c r="R23" s="46"/>
      <c r="S23" s="46"/>
      <c r="T23" s="46"/>
    </row>
    <row r="24" spans="7:20" s="1" customFormat="1" ht="37" customHeight="1">
      <c r="G24" s="1673" t="str">
        <f>Text!C322</f>
        <v>Der Pre-Check SNBS 2023.1 Hochbau funktioniert mit Makros. Ist es für Sie nicht möglich, Makros zu aktivieren, versuchen Sie bitte die Datei in einem neuen Ordner zu speichern und neu zu starten.</v>
      </c>
      <c r="H24" s="1673"/>
      <c r="I24" s="1673"/>
      <c r="J24" s="1673"/>
      <c r="K24" s="1673"/>
      <c r="L24" s="1673"/>
      <c r="M24" s="1673"/>
      <c r="N24" s="1673"/>
      <c r="O24" s="1673"/>
      <c r="P24" s="1673"/>
      <c r="Q24" s="1673"/>
      <c r="R24" s="1673"/>
      <c r="S24" s="1673"/>
      <c r="T24" s="46"/>
    </row>
    <row r="25" spans="7:20" s="1" customFormat="1" ht="5.5" customHeight="1"/>
    <row r="26" spans="7:20">
      <c r="G26" s="1673"/>
      <c r="H26" s="1673"/>
      <c r="I26" s="1673"/>
      <c r="J26" s="1673"/>
      <c r="K26" s="1673"/>
      <c r="L26" s="1673"/>
      <c r="M26" s="1673"/>
      <c r="N26" s="1673"/>
      <c r="O26" s="1673"/>
      <c r="P26" s="1673"/>
      <c r="Q26" s="1673"/>
      <c r="R26" s="1673"/>
      <c r="S26" s="1673"/>
    </row>
    <row r="27" spans="7:20"/>
    <row r="28" spans="7:20"/>
    <row r="29" spans="7:20"/>
    <row r="30" spans="7:20"/>
    <row r="31" spans="7:20"/>
    <row r="32" spans="7:2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98"/>
    <row r="99"/>
    <row r="100"/>
    <row r="116"/>
    <row r="117"/>
    <row r="118"/>
    <row r="119"/>
    <row r="120"/>
    <row r="121"/>
    <row r="123"/>
    <row r="124"/>
    <row r="125"/>
    <row r="141"/>
    <row r="142"/>
    <row r="143"/>
    <row r="159"/>
    <row r="160"/>
    <row r="161"/>
    <row r="166"/>
    <row r="167"/>
    <row r="168"/>
    <row r="202"/>
    <row r="203"/>
    <row r="204"/>
    <row r="232"/>
    <row r="233"/>
    <row r="234"/>
    <row r="245"/>
    <row r="246"/>
    <row r="247"/>
    <row r="263"/>
    <row r="264"/>
    <row r="265"/>
    <row r="275"/>
    <row r="276"/>
    <row r="277"/>
    <row r="293"/>
    <row r="294"/>
    <row r="295"/>
    <row r="306"/>
    <row r="307"/>
    <row r="308"/>
    <row r="312"/>
    <row r="313"/>
    <row r="314"/>
    <row r="327"/>
    <row r="328"/>
    <row r="329"/>
    <row r="336"/>
    <row r="337"/>
    <row r="338"/>
    <row r="341"/>
    <row r="346"/>
    <row r="347"/>
    <row r="348"/>
    <row r="355"/>
    <row r="356"/>
    <row r="357"/>
    <row r="361"/>
    <row r="362"/>
    <row r="363"/>
    <row r="370"/>
    <row r="371"/>
    <row r="372"/>
    <row r="384"/>
    <row r="389"/>
    <row r="390"/>
    <row r="391"/>
    <row r="394"/>
    <row r="395"/>
    <row r="396"/>
    <row r="404"/>
    <row r="405"/>
    <row r="406"/>
    <row r="409"/>
    <row r="410"/>
    <row r="411"/>
    <row r="433"/>
    <row r="434"/>
    <row r="435"/>
    <row r="437"/>
    <row r="438"/>
    <row r="439"/>
    <row r="452"/>
    <row r="453"/>
    <row r="454"/>
    <row r="462"/>
    <row r="463"/>
    <row r="464"/>
    <row r="470"/>
    <row r="476"/>
    <row r="477"/>
    <row r="478"/>
    <row r="485"/>
    <row r="486"/>
    <row r="487"/>
    <row r="488"/>
    <row r="501"/>
    <row r="502"/>
    <row r="503"/>
    <row r="505"/>
    <row r="506"/>
    <row r="507"/>
    <row r="513"/>
    <row r="517"/>
    <row r="523"/>
    <row r="524"/>
    <row r="525"/>
    <row r="528"/>
    <row r="529"/>
    <row r="530"/>
    <row r="531"/>
    <row r="534"/>
    <row r="544"/>
    <row r="545"/>
    <row r="546"/>
    <row r="550"/>
    <row r="551"/>
    <row r="552"/>
    <row r="560"/>
    <row r="562"/>
    <row r="563"/>
    <row r="564"/>
    <row r="566"/>
    <row r="567"/>
    <row r="568"/>
    <row r="577"/>
    <row r="593"/>
    <row r="594"/>
    <row r="595"/>
    <row r="605"/>
    <row r="606"/>
    <row r="607"/>
    <row r="609"/>
    <row r="610"/>
    <row r="611"/>
    <row r="633"/>
    <row r="634"/>
    <row r="635"/>
    <row r="636"/>
    <row r="637"/>
    <row r="638"/>
    <row r="651"/>
    <row r="652"/>
    <row r="653"/>
    <row r="654"/>
    <row r="676"/>
    <row r="677"/>
    <row r="678"/>
    <row r="681"/>
    <row r="682"/>
    <row r="683"/>
    <row r="694"/>
    <row r="695"/>
    <row r="696"/>
    <row r="700"/>
    <row r="701"/>
    <row r="702"/>
    <row r="715"/>
    <row r="716"/>
    <row r="717"/>
    <row r="724"/>
    <row r="725"/>
    <row r="726"/>
    <row r="730"/>
    <row r="731"/>
    <row r="732"/>
    <row r="742"/>
    <row r="743"/>
    <row r="744"/>
    <row r="745"/>
    <row r="758"/>
    <row r="759"/>
    <row r="760"/>
    <row r="766"/>
    <row r="767"/>
    <row r="768"/>
    <row r="769"/>
    <row r="773"/>
    <row r="774"/>
    <row r="775"/>
    <row r="784"/>
    <row r="785"/>
    <row r="786"/>
    <row r="787"/>
    <row r="789"/>
    <row r="803"/>
    <row r="804"/>
    <row r="805"/>
    <row r="809"/>
    <row r="810"/>
    <row r="811"/>
    <row r="821"/>
    <row r="824"/>
    <row r="825"/>
    <row r="826"/>
    <row r="827"/>
    <row r="828"/>
    <row r="829"/>
    <row r="832"/>
    <row r="838"/>
    <row r="846"/>
    <row r="847"/>
    <row r="848"/>
    <row r="853"/>
    <row r="854"/>
    <row r="855"/>
    <row r="856"/>
    <row r="857"/>
    <row r="864"/>
    <row r="867"/>
    <row r="868"/>
    <row r="869"/>
    <row r="881"/>
    <row r="896"/>
    <row r="897"/>
    <row r="898"/>
    <row r="899"/>
    <row r="900"/>
    <row r="911"/>
    <row r="912"/>
  </sheetData>
  <sheetProtection formatColumns="0" formatRows="0"/>
  <customSheetViews>
    <customSheetView guid="{9A24DFA8-2F1F-40ED-973B-20A00514A0EB}" hiddenRows="1" hiddenColumns="1" topLeftCell="A5">
      <selection activeCell="G11" sqref="G11:S11"/>
    </customSheetView>
  </customSheetViews>
  <mergeCells count="20">
    <mergeCell ref="G2:S2"/>
    <mergeCell ref="G16:S16"/>
    <mergeCell ref="L20:N20"/>
    <mergeCell ref="G13:S13"/>
    <mergeCell ref="G14:S14"/>
    <mergeCell ref="L11:N11"/>
    <mergeCell ref="G26:S26"/>
    <mergeCell ref="G24:S24"/>
    <mergeCell ref="G3:S3"/>
    <mergeCell ref="G5:S5"/>
    <mergeCell ref="L21:N21"/>
    <mergeCell ref="P20:R20"/>
    <mergeCell ref="P22:R22"/>
    <mergeCell ref="L22:N22"/>
    <mergeCell ref="H20:J20"/>
    <mergeCell ref="P9:R9"/>
    <mergeCell ref="L9:N9"/>
    <mergeCell ref="H9:J9"/>
    <mergeCell ref="H7:R7"/>
    <mergeCell ref="H18:R18"/>
  </mergeCells>
  <pageMargins left="0.70866141732283472" right="0.70866141732283472" top="0.78740157480314965" bottom="0.78740157480314965" header="0.31496062992125984" footer="0.31496062992125984"/>
  <pageSetup paperSize="9" scale="41" orientation="portrait" verticalDpi="1200" r:id="rId1"/>
  <ignoredErrors>
    <ignoredError sqref="P20 P22 L22 L11 L20" unlocked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02">
    <pageSetUpPr fitToPage="1"/>
  </sheetPr>
  <dimension ref="A1:XFD461"/>
  <sheetViews>
    <sheetView showGridLines="0" showRowColHeaders="0" zoomScaleNormal="100" workbookViewId="0">
      <pane ySplit="5" topLeftCell="A6" activePane="bottomLeft" state="frozenSplit"/>
      <selection pane="bottomLeft"/>
    </sheetView>
  </sheetViews>
  <sheetFormatPr baseColWidth="10" defaultColWidth="11.453125" defaultRowHeight="14.5" zeroHeight="1"/>
  <cols>
    <col min="1" max="1" width="1.54296875" style="82" customWidth="1"/>
    <col min="2" max="2" width="5.453125" style="82" customWidth="1"/>
    <col min="3" max="3" width="2.453125" style="1" customWidth="1"/>
    <col min="4" max="4" width="30.54296875" style="82" customWidth="1"/>
    <col min="5" max="5" width="1.54296875" style="82" customWidth="1"/>
    <col min="6" max="6" width="5.453125" style="82" customWidth="1"/>
    <col min="7" max="7" width="25.7265625" style="82" customWidth="1"/>
    <col min="8" max="8" width="1.54296875" style="82" customWidth="1"/>
    <col min="9" max="9" width="5.453125" style="82" customWidth="1"/>
    <col min="10" max="10" width="25.7265625" style="82" customWidth="1"/>
    <col min="11" max="11" width="1.54296875" style="82" customWidth="1"/>
    <col min="12" max="12" width="5.453125" style="82" customWidth="1"/>
    <col min="13" max="13" width="25.7265625" style="82" customWidth="1"/>
    <col min="14" max="14" width="1.54296875" style="82" customWidth="1"/>
    <col min="15" max="15" width="5.453125" style="82" customWidth="1"/>
    <col min="16" max="16" width="25.7265625" style="82" customWidth="1"/>
    <col min="17" max="17" width="1.54296875" style="82" customWidth="1"/>
    <col min="18" max="18" width="5.453125" style="82" customWidth="1"/>
    <col min="19" max="19" width="25.7265625" style="82" customWidth="1"/>
    <col min="20" max="20" width="1.54296875" style="82" customWidth="1"/>
    <col min="21" max="21" width="5.453125" style="82" customWidth="1"/>
    <col min="22" max="22" width="25.7265625" style="82" customWidth="1"/>
    <col min="23" max="23" width="1.54296875" style="82" customWidth="1"/>
    <col min="24" max="24" width="5.453125" style="82" customWidth="1"/>
    <col min="25" max="25" width="25.7265625" style="82" customWidth="1"/>
    <col min="26" max="26" width="1.54296875" style="82" hidden="1"/>
    <col min="27" max="16383" width="0" style="82" hidden="1" customWidth="1"/>
    <col min="16384" max="16384" width="11.54296875" style="82" customWidth="1"/>
  </cols>
  <sheetData>
    <row r="1" spans="1:25" s="90" customFormat="1" ht="5.15" customHeight="1">
      <c r="A1" s="1411"/>
      <c r="C1" s="48"/>
    </row>
    <row r="2" spans="1:25" s="14" customFormat="1" ht="20.149999999999999" customHeight="1" thickBot="1">
      <c r="B2" s="177"/>
      <c r="C2" s="16"/>
      <c r="D2" s="178" t="str">
        <f>Text!C314</f>
        <v>Im Pre-Check navigieren</v>
      </c>
      <c r="G2" s="191" t="str">
        <f>Text!C313</f>
        <v>Sprachenauswahl</v>
      </c>
      <c r="H2" s="151"/>
      <c r="I2" s="151"/>
      <c r="J2" s="191" t="str">
        <f>Text!C317</f>
        <v>Zum Fragenkatalog</v>
      </c>
      <c r="K2" s="151"/>
      <c r="L2" s="151"/>
      <c r="M2" s="191" t="str">
        <f>Text!C319</f>
        <v>Zum Ergebnis</v>
      </c>
      <c r="N2" s="151"/>
      <c r="O2" s="151"/>
      <c r="P2" s="1"/>
      <c r="Q2" s="1"/>
      <c r="R2" s="1"/>
      <c r="S2" s="1"/>
      <c r="V2" s="639">
        <f>IF(OR(J310="pre-check",J310=""),1,0)</f>
        <v>1</v>
      </c>
      <c r="Y2" s="639" t="str">
        <f>Text!AQ5</f>
        <v>Nein</v>
      </c>
    </row>
    <row r="3" spans="1:25" s="14" customFormat="1" ht="10.4" customHeight="1" thickTop="1">
      <c r="B3" s="177"/>
      <c r="C3" s="16"/>
      <c r="D3" s="178"/>
      <c r="G3" s="93"/>
      <c r="J3" s="93"/>
      <c r="M3" s="93"/>
      <c r="P3" s="1"/>
      <c r="Q3" s="1"/>
      <c r="R3" s="1"/>
      <c r="S3" s="1"/>
    </row>
    <row r="4" spans="1:25" s="14" customFormat="1" ht="20.149999999999999" customHeight="1" thickBot="1">
      <c r="B4" s="177"/>
      <c r="C4" s="16"/>
      <c r="D4" s="178" t="str">
        <f>Text!C315</f>
        <v>Im Fenster navigieren</v>
      </c>
      <c r="G4" s="191" t="str">
        <f>Text!C327</f>
        <v>Kriterien</v>
      </c>
      <c r="H4" s="151"/>
      <c r="I4" s="151"/>
      <c r="J4" s="191" t="str">
        <f>Text!C328</f>
        <v>Fragen</v>
      </c>
      <c r="K4" s="151"/>
      <c r="L4" s="151"/>
      <c r="M4" s="191" t="str">
        <f>Text!C329</f>
        <v>Bewertung</v>
      </c>
      <c r="P4" s="191" t="str">
        <f>Text!C403</f>
        <v>Klima-Check</v>
      </c>
    </row>
    <row r="5" spans="1:25" s="14" customFormat="1" ht="20.149999999999999" customHeight="1" thickTop="1">
      <c r="B5" s="177"/>
      <c r="C5" s="16"/>
      <c r="D5" s="1289" t="str">
        <f>Text!C320</f>
        <v>Menu ein- oder ausblenden</v>
      </c>
      <c r="G5" s="93"/>
      <c r="J5" s="93"/>
      <c r="M5" s="93"/>
    </row>
    <row r="6" spans="1:25" s="14" customFormat="1" ht="2.25" customHeight="1">
      <c r="B6" s="177"/>
      <c r="C6" s="16"/>
      <c r="D6" s="133"/>
    </row>
    <row r="7" spans="1:25" s="93" customFormat="1" ht="20.149999999999999" customHeight="1">
      <c r="B7" s="192"/>
      <c r="C7" s="193"/>
      <c r="D7" s="133"/>
    </row>
    <row r="8" spans="1:25" s="1" customFormat="1" ht="30.65" customHeight="1">
      <c r="G8" s="1785" t="str">
        <f>Text!C312</f>
        <v>Pre-Check SNBS 2023.1 Hochbau</v>
      </c>
      <c r="H8" s="1785"/>
      <c r="I8" s="1785"/>
      <c r="J8" s="1785"/>
      <c r="K8" s="1785"/>
      <c r="L8" s="1785"/>
      <c r="M8" s="1785"/>
      <c r="N8" s="1785"/>
      <c r="O8" s="1785"/>
      <c r="P8" s="1785"/>
      <c r="Q8" s="1785"/>
      <c r="R8" s="1785"/>
      <c r="S8" s="1785"/>
      <c r="T8" s="1785"/>
      <c r="U8" s="1785"/>
      <c r="W8" s="50"/>
    </row>
    <row r="9" spans="1:25" s="1" customFormat="1" ht="30" customHeight="1">
      <c r="D9" s="48"/>
      <c r="G9" s="1786" t="str">
        <f>Text!C332</f>
        <v>Willkommen beim ''Pre-Check SNBS 2023.1 Hochbau''</v>
      </c>
      <c r="H9" s="1786"/>
      <c r="I9" s="1786"/>
      <c r="J9" s="1786"/>
      <c r="K9" s="1786"/>
      <c r="L9" s="1786"/>
      <c r="M9" s="1786"/>
      <c r="N9" s="1786"/>
      <c r="O9" s="1786"/>
      <c r="P9" s="1786"/>
      <c r="Q9" s="1786"/>
      <c r="R9" s="1786"/>
      <c r="S9" s="1786"/>
      <c r="T9" s="1786"/>
      <c r="U9" s="1786"/>
      <c r="W9" s="50"/>
    </row>
    <row r="10" spans="1:25" s="1" customFormat="1" ht="20.149999999999999" customHeight="1">
      <c r="G10" s="1789"/>
      <c r="H10" s="1789"/>
      <c r="I10" s="1789"/>
      <c r="J10" s="1789"/>
      <c r="K10" s="1789"/>
      <c r="L10" s="1789"/>
      <c r="M10" s="1789"/>
      <c r="N10" s="1789"/>
      <c r="O10" s="1789"/>
      <c r="P10" s="1789"/>
      <c r="Q10" s="1789"/>
      <c r="R10" s="1789"/>
      <c r="S10" s="1789"/>
      <c r="W10" s="50"/>
    </row>
    <row r="11" spans="1:25" s="1" customFormat="1" ht="20.149999999999999" customHeight="1">
      <c r="G11" s="1787" t="str">
        <f>Text!C332</f>
        <v>Willkommen beim ''Pre-Check SNBS 2023.1 Hochbau''</v>
      </c>
      <c r="H11" s="1787"/>
      <c r="I11" s="1787"/>
      <c r="J11" s="1787"/>
      <c r="K11" s="1787"/>
      <c r="L11" s="1787"/>
      <c r="M11" s="1787"/>
      <c r="N11" s="1787"/>
      <c r="O11" s="1787"/>
      <c r="P11" s="1787"/>
      <c r="Q11" s="1787"/>
      <c r="R11" s="1787"/>
      <c r="S11" s="1787"/>
      <c r="T11" s="1787"/>
      <c r="U11" s="1787"/>
      <c r="W11" s="50"/>
    </row>
    <row r="12" spans="1:25" s="1" customFormat="1" ht="15" customHeight="1">
      <c r="G12" s="179"/>
      <c r="H12" s="179"/>
      <c r="I12" s="179"/>
      <c r="J12" s="179"/>
      <c r="K12" s="179"/>
      <c r="L12" s="179"/>
      <c r="M12" s="179"/>
      <c r="N12" s="179"/>
      <c r="O12" s="179"/>
      <c r="P12" s="179"/>
      <c r="Q12" s="179"/>
      <c r="R12" s="179"/>
      <c r="S12" s="179"/>
      <c r="W12" s="50"/>
    </row>
    <row r="13" spans="1:25" s="147" customFormat="1" ht="30" customHeight="1">
      <c r="C13" s="159"/>
      <c r="D13" s="1784" t="str">
        <f>Text!C333</f>
        <v>Der ''Pre-Check SNBS 2023.1 Hochbau'' ermöglicht es, innerhalb von nur 30 bis 120 Minuten durch die Beantwortung einfacher Fragen, Aussagen zur Nachhaltigkeit eines Projekts zu erhalten. Dabei werden in einer frühen Phase des Bauvorhabens Stolpersteine identifiziert, welche eine gesamtheitlich genügende Nachhaltigkeitsbewertung gefährden. Verbesserungsmassnahmen können dadurch frühzeitig eingeleitet werden.</v>
      </c>
      <c r="E13" s="1784"/>
      <c r="F13" s="1784"/>
      <c r="G13" s="1784"/>
      <c r="H13" s="1784"/>
      <c r="I13" s="1784"/>
      <c r="J13" s="1784"/>
      <c r="K13" s="1784"/>
      <c r="L13" s="1784"/>
      <c r="M13" s="1784"/>
      <c r="N13" s="1784"/>
      <c r="O13" s="1784"/>
      <c r="P13" s="1784"/>
      <c r="Q13" s="1784"/>
      <c r="R13" s="1784"/>
      <c r="S13" s="1784"/>
      <c r="T13" s="1784"/>
      <c r="U13" s="1784"/>
      <c r="V13" s="1784"/>
      <c r="W13" s="1784"/>
      <c r="X13" s="1784"/>
      <c r="Y13" s="1784"/>
    </row>
    <row r="14" spans="1:25" s="1" customFormat="1" ht="15" customHeight="1">
      <c r="G14" s="51"/>
      <c r="H14" s="51"/>
      <c r="I14" s="51"/>
      <c r="J14" s="51"/>
      <c r="K14" s="51"/>
      <c r="L14" s="51"/>
      <c r="N14" s="51"/>
      <c r="O14" s="51"/>
      <c r="P14" s="51"/>
      <c r="Q14" s="51"/>
      <c r="R14" s="51"/>
      <c r="S14" s="51"/>
      <c r="V14" s="46"/>
      <c r="W14" s="50"/>
    </row>
    <row r="15" spans="1:25" s="1" customFormat="1" ht="15" customHeight="1">
      <c r="D15" s="1728" t="str">
        <f>Text!C334&amp; CHAR(10) &amp;Text!C335</f>
        <v>Bei der erstmaligen Pre-Check-Benutzung kann der kurze Erläuterungstext (Blatt Intro) hilfreich sein.
Der Pre-Check kann jedoch auch problemlos direkt mit dem Fragenkatalog gestartet werden. Versuchen Sie bei einer ersten Projektbewertung bzw. bei einer ersten Bearbeitung des Fragenkatalogs möglichst spontane Antworten zu geben. Wo sie sich nicht sicher sind, wählen Sie einfach die Option «weiss nicht». Das Tool ist so aufgebaut, dass solche Antworten entsprechend bewertet oder zu spezifischeren Fragen zum Thema führen.</v>
      </c>
      <c r="E15" s="1728"/>
      <c r="F15" s="1728"/>
      <c r="G15" s="1728"/>
      <c r="H15" s="1728"/>
      <c r="I15" s="1728"/>
      <c r="J15" s="1728"/>
      <c r="K15" s="1728"/>
      <c r="L15" s="1728"/>
      <c r="M15" s="1728"/>
      <c r="N15" s="1728"/>
      <c r="O15" s="1728"/>
      <c r="P15" s="1728"/>
      <c r="Q15" s="1728"/>
      <c r="R15" s="1728"/>
      <c r="S15" s="1728"/>
      <c r="T15" s="1728"/>
      <c r="U15" s="1728"/>
      <c r="V15" s="1728"/>
      <c r="W15" s="1728"/>
      <c r="X15" s="1728"/>
      <c r="Y15" s="1728"/>
    </row>
    <row r="16" spans="1:25" s="1" customFormat="1" ht="30.65" customHeight="1">
      <c r="D16" s="1728"/>
      <c r="E16" s="1728"/>
      <c r="F16" s="1728"/>
      <c r="G16" s="1728"/>
      <c r="H16" s="1728"/>
      <c r="I16" s="1728"/>
      <c r="J16" s="1728"/>
      <c r="K16" s="1728"/>
      <c r="L16" s="1728"/>
      <c r="M16" s="1728"/>
      <c r="N16" s="1728"/>
      <c r="O16" s="1728"/>
      <c r="P16" s="1728"/>
      <c r="Q16" s="1728"/>
      <c r="R16" s="1728"/>
      <c r="S16" s="1728"/>
      <c r="T16" s="1728"/>
      <c r="U16" s="1728"/>
      <c r="V16" s="1728"/>
      <c r="W16" s="1728"/>
      <c r="X16" s="1728"/>
      <c r="Y16" s="1728"/>
    </row>
    <row r="17" spans="1:26 16384:16384" s="1" customFormat="1" ht="15" customHeight="1">
      <c r="E17" s="52"/>
      <c r="F17" s="51"/>
      <c r="G17" s="51"/>
      <c r="H17" s="51"/>
      <c r="I17" s="51"/>
      <c r="J17" s="51"/>
      <c r="K17" s="51"/>
      <c r="L17" s="51"/>
      <c r="M17" s="51"/>
      <c r="N17" s="51"/>
      <c r="Q17" s="51"/>
      <c r="R17" s="51"/>
      <c r="V17" s="175"/>
      <c r="W17" s="50"/>
    </row>
    <row r="18" spans="1:26 16384:16384" s="1" customFormat="1" ht="20.149999999999999" customHeight="1">
      <c r="E18" s="51"/>
      <c r="F18" s="51"/>
      <c r="G18" s="51"/>
      <c r="H18" s="51"/>
      <c r="I18" s="51"/>
      <c r="J18" s="51"/>
      <c r="K18" s="51"/>
      <c r="L18" s="51"/>
      <c r="M18" s="51"/>
      <c r="N18" s="51"/>
      <c r="Q18" s="51"/>
      <c r="R18" s="51"/>
      <c r="V18" s="119"/>
      <c r="W18" s="50"/>
    </row>
    <row r="19" spans="1:26 16384:16384" s="1" customFormat="1" ht="15" customHeight="1">
      <c r="E19" s="52"/>
      <c r="F19" s="51"/>
      <c r="G19" s="51"/>
      <c r="H19" s="51"/>
      <c r="I19" s="51"/>
      <c r="J19" s="51"/>
      <c r="K19" s="51"/>
      <c r="L19" s="51"/>
      <c r="M19" s="51"/>
      <c r="N19" s="51"/>
      <c r="Q19" s="51"/>
      <c r="R19" s="51"/>
      <c r="V19" s="175"/>
      <c r="W19" s="50"/>
    </row>
    <row r="20" spans="1:26 16384:16384" s="1" customFormat="1" ht="20.149999999999999" customHeight="1">
      <c r="G20" s="51"/>
      <c r="H20" s="51"/>
      <c r="I20" s="51"/>
      <c r="J20" s="51"/>
      <c r="K20" s="51"/>
      <c r="L20" s="51"/>
      <c r="M20" s="51"/>
      <c r="N20" s="51"/>
      <c r="O20" s="51"/>
      <c r="P20" s="51"/>
      <c r="Q20" s="51"/>
      <c r="R20" s="51"/>
      <c r="V20" s="51"/>
      <c r="W20" s="50"/>
    </row>
    <row r="21" spans="1:26 16384:16384" s="1" customFormat="1" ht="20.149999999999999" customHeight="1">
      <c r="D21" s="76"/>
      <c r="H21" s="74"/>
      <c r="I21" s="74"/>
      <c r="J21" s="74"/>
      <c r="K21" s="74"/>
      <c r="L21" s="74"/>
      <c r="M21" s="74"/>
      <c r="N21" s="74"/>
      <c r="O21" s="74"/>
      <c r="P21" s="74"/>
      <c r="Q21" s="74"/>
      <c r="R21" s="75"/>
      <c r="V21" s="89"/>
      <c r="W21" s="50"/>
      <c r="Y21" s="89" t="str">
        <f>Text!C331</f>
        <v>Weiter</v>
      </c>
    </row>
    <row r="22" spans="1:26 16384:16384" s="48" customFormat="1" ht="20.149999999999999" hidden="1" customHeight="1">
      <c r="G22" s="194"/>
      <c r="H22" s="194"/>
      <c r="I22" s="194"/>
      <c r="J22" s="194"/>
      <c r="K22" s="194"/>
      <c r="L22" s="194"/>
      <c r="M22" s="194"/>
      <c r="N22" s="194"/>
      <c r="O22" s="194"/>
      <c r="P22" s="194"/>
      <c r="Q22" s="194"/>
      <c r="R22" s="194"/>
      <c r="V22" s="194"/>
      <c r="W22" s="91"/>
    </row>
    <row r="23" spans="1:26 16384:16384" s="127" customFormat="1" ht="20.149999999999999" hidden="1" customHeight="1">
      <c r="C23" s="128"/>
      <c r="D23" s="128"/>
      <c r="E23" s="128"/>
      <c r="F23" s="128"/>
      <c r="G23" s="1764" t="str">
        <f>Text!C336</f>
        <v>Bereichen, Themen, Kritierien</v>
      </c>
      <c r="H23" s="1764"/>
      <c r="I23" s="1764"/>
      <c r="J23" s="1764"/>
      <c r="K23" s="1764"/>
      <c r="L23" s="1764"/>
      <c r="M23" s="1764"/>
      <c r="N23" s="1764"/>
      <c r="O23" s="1764"/>
      <c r="P23" s="1764"/>
      <c r="Q23" s="1764"/>
      <c r="R23" s="1764"/>
      <c r="S23" s="1764"/>
      <c r="T23" s="1764"/>
      <c r="U23" s="1764"/>
      <c r="V23" s="1764"/>
      <c r="W23" s="128"/>
      <c r="X23" s="128"/>
      <c r="Y23" s="128"/>
    </row>
    <row r="24" spans="1:26 16384:16384" s="1" customFormat="1" ht="20.149999999999999" hidden="1" customHeight="1">
      <c r="G24" s="51"/>
      <c r="H24" s="51"/>
      <c r="I24" s="51"/>
      <c r="J24" s="51"/>
      <c r="K24" s="51"/>
      <c r="L24" s="51"/>
      <c r="M24" s="51"/>
      <c r="N24" s="51"/>
      <c r="O24" s="51"/>
      <c r="P24" s="51"/>
      <c r="Q24" s="51"/>
      <c r="R24" s="51"/>
      <c r="V24" s="51"/>
      <c r="W24" s="50"/>
    </row>
    <row r="25" spans="1:26 16384:16384" s="1" customFormat="1" ht="30" hidden="1" customHeight="1">
      <c r="D25" s="1784" t="str">
        <f>Text!C337</f>
        <v>Der Standard Nachhaltiges Bauen Schweiz SNBS Hochbau ist der erste umfassende und zertifizierungsfähige Standard für nachhaltige Gebäude in der Schweiz. Er basiert auf der Nachhaltigkeitsstrategie des Bundesrats und soll einen Betrag zur Klimapolitik leisten.</v>
      </c>
      <c r="E25" s="1784"/>
      <c r="F25" s="1784"/>
      <c r="G25" s="1784"/>
      <c r="H25" s="1784"/>
      <c r="I25" s="1784"/>
      <c r="J25" s="1784"/>
      <c r="K25" s="1784"/>
      <c r="L25" s="1784"/>
      <c r="M25" s="1784"/>
      <c r="N25" s="1784"/>
      <c r="O25" s="1784"/>
      <c r="P25" s="1784"/>
      <c r="Q25" s="1784"/>
      <c r="R25" s="1784"/>
      <c r="S25" s="1784"/>
      <c r="T25" s="1784"/>
      <c r="U25" s="1784"/>
      <c r="V25" s="1784"/>
      <c r="W25" s="1784"/>
      <c r="X25" s="1784"/>
      <c r="Y25" s="1784"/>
    </row>
    <row r="26" spans="1:26 16384:16384" s="1" customFormat="1" ht="30" hidden="1" customHeight="1">
      <c r="D26" s="1728" t="str">
        <f>Text!C338</f>
        <v>Entwickelt und gepflegt wird der SNBS vom Netzwerk Nachhaltiges Bauen Schweiz NNBS in enger Zusammenarbeit mit einer Zertifizierungsstelle. Entstanden ist der Standard als Gemeinschaftswerk von privater Seite und öffentlicher Hand. So konsolidiert er die relevanten Ansätze und Konzepte des nachhaltigen Bauens in der Schweiz und führt sie zu einem neuen Ganzen zusammen.</v>
      </c>
      <c r="E26" s="1728"/>
      <c r="F26" s="1728"/>
      <c r="G26" s="1728"/>
      <c r="H26" s="1728"/>
      <c r="I26" s="1728"/>
      <c r="J26" s="1728"/>
      <c r="K26" s="1728"/>
      <c r="L26" s="1728"/>
      <c r="M26" s="1728"/>
      <c r="N26" s="1728"/>
      <c r="O26" s="1728"/>
      <c r="P26" s="1728"/>
      <c r="Q26" s="1728"/>
      <c r="R26" s="1728"/>
      <c r="S26" s="1728"/>
      <c r="T26" s="1728"/>
      <c r="U26" s="1728"/>
      <c r="V26" s="1728"/>
      <c r="W26" s="1728"/>
      <c r="X26" s="1728"/>
      <c r="Y26" s="1728"/>
    </row>
    <row r="27" spans="1:26 16384:16384" s="1" customFormat="1" ht="30" hidden="1" customHeight="1">
      <c r="D27" s="1788" t="str">
        <f>Text!C339</f>
        <v>Der SNBS 2023.1 Hochbau ist in die drei Bereiche der Nachhaltigkeit (Gesellschaft, Wirtschaft und Umwelt) aufgeteilt, in welchen die jeweils zu bewertenden Kriterien in verschiedene Themen zusammengefasst werden. Insgesamt werden 35 Kriterien aus 11 Themen bewertet.</v>
      </c>
      <c r="E27" s="1788"/>
      <c r="F27" s="1788"/>
      <c r="G27" s="1788"/>
      <c r="H27" s="1788"/>
      <c r="I27" s="1788"/>
      <c r="J27" s="1788"/>
      <c r="K27" s="1788"/>
      <c r="L27" s="1788"/>
      <c r="M27" s="1788"/>
      <c r="N27" s="1788"/>
      <c r="O27" s="1788"/>
      <c r="P27" s="1788"/>
      <c r="Q27" s="1788"/>
      <c r="R27" s="1788"/>
      <c r="S27" s="1788"/>
      <c r="T27" s="1788"/>
      <c r="U27" s="1788"/>
      <c r="V27" s="1788"/>
      <c r="W27" s="1788"/>
      <c r="X27" s="1788"/>
      <c r="Y27" s="1788"/>
    </row>
    <row r="28" spans="1:26 16384:16384" s="1" customFormat="1" ht="20.149999999999999" hidden="1" customHeight="1" thickBot="1">
      <c r="B28" s="162" t="str">
        <f>Text!AK22</f>
        <v>Bereich</v>
      </c>
      <c r="D28" s="160" t="str">
        <f>Text!AL22</f>
        <v>Thema</v>
      </c>
      <c r="E28" s="160"/>
      <c r="G28" s="160" t="str">
        <f>Text!AN22</f>
        <v>Kriterium</v>
      </c>
      <c r="H28" s="160"/>
      <c r="I28" s="53"/>
      <c r="J28" s="162"/>
      <c r="K28" s="163"/>
      <c r="L28" s="54"/>
    </row>
    <row r="29" spans="1:26 16384:16384" s="219" customFormat="1" ht="10.4" hidden="1" customHeight="1" thickTop="1" thickBot="1">
      <c r="A29" s="14"/>
      <c r="B29" s="1732" t="str">
        <f>Text!$AK$23</f>
        <v>Gesellschaft</v>
      </c>
      <c r="C29" s="1752">
        <f>Text!$AM$23</f>
        <v>11</v>
      </c>
      <c r="D29" s="1753" t="str">
        <f>Text!$AP$23</f>
        <v>Qualität der Entwicklung</v>
      </c>
      <c r="E29" s="1142"/>
      <c r="F29" s="1337">
        <f>Text!$AQ$23</f>
        <v>111</v>
      </c>
      <c r="G29" s="1338" t="str">
        <f>Text!$AO$23</f>
        <v>Ziele &amp; Pflichtenhefte</v>
      </c>
      <c r="H29" s="1339" t="s">
        <v>1444</v>
      </c>
      <c r="I29" s="1337">
        <f>Text!$AQ$24</f>
        <v>112</v>
      </c>
      <c r="J29" s="1338" t="str">
        <f>Text!$AO$24</f>
        <v>Städtebau &amp; Architektur</v>
      </c>
      <c r="K29" s="1340" t="s">
        <v>1444</v>
      </c>
      <c r="L29" s="1337">
        <f>Text!$AQ$25</f>
        <v>113</v>
      </c>
      <c r="M29" s="1338" t="str">
        <f>Text!$AN$24</f>
        <v>Klimaangepasster Städtebau</v>
      </c>
      <c r="N29" s="1341"/>
      <c r="O29" s="1342"/>
      <c r="P29" s="1343"/>
      <c r="Q29" s="1343"/>
      <c r="R29" s="1343"/>
      <c r="S29" s="1343"/>
      <c r="T29" s="1342"/>
      <c r="U29" s="1342"/>
      <c r="V29" s="1344"/>
      <c r="W29" s="1345"/>
      <c r="X29" s="1342"/>
      <c r="Y29" s="1346"/>
      <c r="Z29" s="218"/>
      <c r="XFD29" s="14"/>
    </row>
    <row r="30" spans="1:26 16384:16384" s="14" customFormat="1" ht="10.4" hidden="1" customHeight="1" thickTop="1" thickBot="1">
      <c r="B30" s="1732"/>
      <c r="C30" s="1752"/>
      <c r="D30" s="1753"/>
      <c r="E30" s="1142"/>
      <c r="F30" s="1396"/>
      <c r="G30" s="1343"/>
      <c r="H30" s="1343"/>
      <c r="I30" s="1343"/>
      <c r="J30" s="1343"/>
      <c r="K30" s="1342"/>
      <c r="L30" s="1342"/>
      <c r="M30" s="1344"/>
      <c r="N30" s="1341"/>
      <c r="O30" s="1342"/>
      <c r="P30" s="1343"/>
      <c r="Q30" s="1343"/>
      <c r="R30" s="1343"/>
      <c r="S30" s="1343"/>
      <c r="T30" s="1342"/>
      <c r="U30" s="1342"/>
      <c r="V30" s="1344"/>
      <c r="W30" s="1345"/>
      <c r="X30" s="1342"/>
      <c r="Y30" s="1346"/>
      <c r="Z30" s="58"/>
    </row>
    <row r="31" spans="1:26 16384:16384" s="219" customFormat="1" ht="10.4" hidden="1" customHeight="1" thickTop="1" thickBot="1">
      <c r="A31" s="14"/>
      <c r="B31" s="1732"/>
      <c r="C31" s="1752">
        <f>Text!$AM$26</f>
        <v>12</v>
      </c>
      <c r="D31" s="1753" t="str">
        <f>Text!$AP$26</f>
        <v>Angebot &amp; Erreichbarkeit</v>
      </c>
      <c r="E31" s="1142"/>
      <c r="F31" s="1337">
        <f>Text!$AQ$26</f>
        <v>121</v>
      </c>
      <c r="G31" s="1338" t="str">
        <f>Text!$AO$26</f>
        <v>Erreichbarkeit &amp; Nutzungsang.</v>
      </c>
      <c r="H31" s="1353" t="s">
        <v>1444</v>
      </c>
      <c r="I31" s="1337">
        <f>Text!$AQ$27</f>
        <v>122</v>
      </c>
      <c r="J31" s="1338" t="str">
        <f>Text!$AO$27</f>
        <v>Hindernisfreies Bauen</v>
      </c>
      <c r="K31" s="1354"/>
      <c r="L31" s="1355"/>
      <c r="M31" s="1356"/>
      <c r="N31" s="1357"/>
      <c r="O31" s="1358"/>
      <c r="P31" s="1357"/>
      <c r="Q31" s="1357"/>
      <c r="R31" s="1358"/>
      <c r="S31" s="1357"/>
      <c r="T31" s="1343"/>
      <c r="U31" s="1342"/>
      <c r="V31" s="1344"/>
      <c r="W31" s="1345"/>
      <c r="X31" s="1342"/>
      <c r="Y31" s="1346"/>
      <c r="XFD31" s="14"/>
    </row>
    <row r="32" spans="1:26 16384:16384" s="18" customFormat="1" ht="10.4" hidden="1" customHeight="1" thickTop="1" thickBot="1">
      <c r="B32" s="1732"/>
      <c r="C32" s="1752"/>
      <c r="D32" s="1753"/>
      <c r="E32" s="1150"/>
      <c r="F32" s="1343"/>
      <c r="G32" s="1343"/>
      <c r="H32" s="1343"/>
      <c r="I32" s="1343"/>
      <c r="J32" s="1342"/>
      <c r="K32" s="1342"/>
      <c r="L32" s="1344"/>
      <c r="M32" s="1342"/>
      <c r="N32" s="1342"/>
      <c r="O32" s="1359"/>
      <c r="P32" s="1342"/>
      <c r="Q32" s="1342"/>
      <c r="R32" s="1359"/>
      <c r="S32" s="1342"/>
      <c r="T32" s="1342"/>
      <c r="U32" s="1342"/>
      <c r="V32" s="1344"/>
      <c r="W32" s="1345"/>
      <c r="X32" s="1342"/>
      <c r="Y32" s="1346"/>
    </row>
    <row r="33" spans="1:28 16384:16384" s="220" customFormat="1" ht="10.4" hidden="1" customHeight="1" thickTop="1" thickBot="1">
      <c r="A33" s="18"/>
      <c r="B33" s="1732"/>
      <c r="C33" s="1752">
        <f>Text!$AM$28</f>
        <v>13</v>
      </c>
      <c r="D33" s="1753" t="str">
        <f>Text!$AP$28</f>
        <v>Gebrauchsqualität</v>
      </c>
      <c r="E33" s="1142"/>
      <c r="F33" s="1337">
        <f>Text!$AQ$28</f>
        <v>131</v>
      </c>
      <c r="G33" s="1338" t="str">
        <f>Text!$AO$28</f>
        <v>Räume sozialer Interaktion</v>
      </c>
      <c r="H33" s="1349"/>
      <c r="I33" s="1337">
        <f>Text!$AQ$29</f>
        <v>132</v>
      </c>
      <c r="J33" s="1338" t="str">
        <f>Text!$AO$29</f>
        <v>Sicherheit</v>
      </c>
      <c r="K33" s="1341"/>
      <c r="L33" s="1358"/>
      <c r="M33" s="1357"/>
      <c r="N33" s="1360"/>
      <c r="O33" s="1358"/>
      <c r="P33" s="1357"/>
      <c r="Q33" s="1357"/>
      <c r="R33" s="1358"/>
      <c r="S33" s="1357"/>
      <c r="T33" s="1342"/>
      <c r="U33" s="1342"/>
      <c r="V33" s="1344"/>
      <c r="W33" s="1345"/>
      <c r="X33" s="1342"/>
      <c r="Y33" s="1346"/>
      <c r="XFD33" s="18"/>
    </row>
    <row r="34" spans="1:28 16384:16384" s="18" customFormat="1" ht="10.4" hidden="1" customHeight="1" thickTop="1" thickBot="1">
      <c r="B34" s="1732"/>
      <c r="C34" s="1752"/>
      <c r="D34" s="1753"/>
      <c r="E34" s="1150"/>
      <c r="F34" s="1343"/>
      <c r="G34" s="1343"/>
      <c r="H34" s="1343"/>
      <c r="I34" s="1343"/>
      <c r="J34" s="1342"/>
      <c r="K34" s="1342"/>
      <c r="L34" s="1344"/>
      <c r="M34" s="1363"/>
      <c r="N34" s="1363"/>
      <c r="O34" s="1364"/>
      <c r="P34" s="1363"/>
      <c r="Q34" s="1363"/>
      <c r="R34" s="1364"/>
      <c r="S34" s="1363"/>
      <c r="T34" s="1363"/>
      <c r="U34" s="1363"/>
      <c r="V34" s="1365"/>
      <c r="W34" s="1366"/>
      <c r="X34" s="1363"/>
      <c r="Y34" s="1367"/>
    </row>
    <row r="35" spans="1:28 16384:16384" s="220" customFormat="1" ht="10.4" hidden="1" customHeight="1" thickTop="1" thickBot="1">
      <c r="A35" s="18"/>
      <c r="B35" s="1732"/>
      <c r="C35" s="1752">
        <f>Text!$AM$30</f>
        <v>14</v>
      </c>
      <c r="D35" s="1753" t="str">
        <f>Text!$AP$30</f>
        <v>Wohlbefinden &amp; Gesundheit</v>
      </c>
      <c r="E35" s="1142"/>
      <c r="F35" s="1368" t="str">
        <f>Text!$AQ$30</f>
        <v>141</v>
      </c>
      <c r="G35" s="1338" t="str">
        <f>Text!$AO$30</f>
        <v>Raumluftqualität</v>
      </c>
      <c r="H35" s="1369"/>
      <c r="I35" s="1337">
        <f>Text!$AQ$31</f>
        <v>142</v>
      </c>
      <c r="J35" s="1338" t="str">
        <f>Text!$AO$31</f>
        <v>Schadstoffe &amp; Strahlung</v>
      </c>
      <c r="K35" s="1349"/>
      <c r="L35" s="1370">
        <f>Text!$AQ$32</f>
        <v>143</v>
      </c>
      <c r="M35" s="1338" t="str">
        <f>Text!$AO$32</f>
        <v>Mikroklima</v>
      </c>
      <c r="N35" s="1349"/>
      <c r="O35" s="1370">
        <f>Text!$AQ$33</f>
        <v>144</v>
      </c>
      <c r="P35" s="1338" t="str">
        <f>Text!$AO$33</f>
        <v>Sommerlicher Wärmeschutz</v>
      </c>
      <c r="Q35" s="1349"/>
      <c r="R35" s="1370">
        <f>Text!$AQ$34</f>
        <v>145</v>
      </c>
      <c r="S35" s="1338" t="str">
        <f>Text!$AO$34</f>
        <v>Winterlicher Wärmeschutz</v>
      </c>
      <c r="T35" s="1349"/>
      <c r="U35" s="1337">
        <f>Text!$AQ$35</f>
        <v>146</v>
      </c>
      <c r="V35" s="1338" t="str">
        <f>Text!$AO$35</f>
        <v>Tageslicht</v>
      </c>
      <c r="W35" s="1371"/>
      <c r="X35" s="1337">
        <f>Text!$AQ$36</f>
        <v>147</v>
      </c>
      <c r="Y35" s="1338" t="str">
        <f>Text!$AO$36</f>
        <v>Schallschutz</v>
      </c>
      <c r="XFD35" s="18"/>
    </row>
    <row r="36" spans="1:28 16384:16384" s="220" customFormat="1" ht="10.4" hidden="1" customHeight="1" thickTop="1" thickBot="1">
      <c r="A36" s="18"/>
      <c r="B36" s="1732"/>
      <c r="C36" s="1752"/>
      <c r="D36" s="1753"/>
      <c r="E36" s="1139"/>
      <c r="F36" s="1372"/>
      <c r="G36" s="1373"/>
      <c r="H36" s="1342"/>
      <c r="I36" s="1372"/>
      <c r="J36" s="1373"/>
      <c r="K36" s="1373"/>
      <c r="L36" s="1372"/>
      <c r="M36" s="1373"/>
      <c r="N36" s="1374"/>
      <c r="O36" s="1343"/>
      <c r="P36" s="1343"/>
      <c r="Q36" s="1343"/>
      <c r="R36" s="1343"/>
      <c r="S36" s="1342"/>
      <c r="T36" s="1342"/>
      <c r="U36" s="1344"/>
      <c r="V36" s="1343"/>
      <c r="W36" s="1343"/>
      <c r="X36" s="1343"/>
      <c r="Y36" s="1343"/>
      <c r="Z36" s="221"/>
      <c r="AA36" s="113"/>
      <c r="AB36" s="677"/>
      <c r="XFD36" s="18"/>
    </row>
    <row r="37" spans="1:28 16384:16384" s="18" customFormat="1" ht="10.4" hidden="1" customHeight="1" thickTop="1">
      <c r="B37" s="1140"/>
      <c r="C37" s="649"/>
      <c r="D37" s="1141"/>
      <c r="E37" s="2"/>
      <c r="F37" s="1359"/>
      <c r="G37" s="1342"/>
      <c r="H37" s="1342"/>
      <c r="I37" s="1359"/>
      <c r="J37" s="1342"/>
      <c r="K37" s="1342"/>
      <c r="L37" s="1359"/>
      <c r="M37" s="1342"/>
      <c r="N37" s="1342"/>
      <c r="O37" s="1372"/>
      <c r="P37" s="1373"/>
      <c r="Q37" s="1373"/>
      <c r="R37" s="1372"/>
      <c r="S37" s="1373"/>
      <c r="T37" s="1373"/>
      <c r="U37" s="1372"/>
      <c r="V37" s="1376"/>
      <c r="W37" s="1377"/>
      <c r="X37" s="1373"/>
      <c r="Y37" s="1378"/>
    </row>
    <row r="38" spans="1:28 16384:16384" s="14" customFormat="1" ht="10.4" hidden="1" customHeight="1">
      <c r="B38" s="1754" t="str">
        <f>Text!$AK$38</f>
        <v>Wirtschaft</v>
      </c>
      <c r="C38" s="1691">
        <f>Text!$AM$38</f>
        <v>21</v>
      </c>
      <c r="D38" s="1692" t="str">
        <f>Text!$AP$38</f>
        <v>Lebenszyklus</v>
      </c>
      <c r="E38" s="113"/>
      <c r="F38" s="1379">
        <f>Text!$AQ$38</f>
        <v>211</v>
      </c>
      <c r="G38" s="1380" t="str">
        <f>Text!$AO$38</f>
        <v>Lebenszykluskosten</v>
      </c>
      <c r="H38" s="1342"/>
      <c r="I38" s="1379">
        <f>Text!$AQ$39</f>
        <v>212</v>
      </c>
      <c r="J38" s="1380" t="str">
        <f>Text!$AO$39</f>
        <v>Bewirtschaftungsgerechte P &amp; R</v>
      </c>
      <c r="K38" s="1342" t="s">
        <v>1444</v>
      </c>
      <c r="L38" s="1381">
        <f>Text!$AQ$40</f>
        <v>213</v>
      </c>
      <c r="M38" s="1380" t="str">
        <f>Text!$AO$40</f>
        <v>Wiederverwendung &amp; Systemtr.</v>
      </c>
      <c r="N38" s="1382" t="s">
        <v>1444</v>
      </c>
      <c r="O38" s="1359"/>
      <c r="P38" s="1342"/>
      <c r="Q38" s="1342"/>
      <c r="R38" s="1359"/>
      <c r="S38" s="1342"/>
      <c r="T38" s="1342"/>
      <c r="U38" s="1359"/>
      <c r="V38" s="1344"/>
      <c r="W38" s="1345"/>
      <c r="X38" s="1342"/>
      <c r="Y38" s="1346"/>
      <c r="Z38" s="58"/>
    </row>
    <row r="39" spans="1:28 16384:16384" s="14" customFormat="1" ht="10.4" hidden="1" customHeight="1">
      <c r="B39" s="1755"/>
      <c r="C39" s="1691"/>
      <c r="D39" s="1692"/>
      <c r="E39" s="221"/>
      <c r="F39" s="1343"/>
      <c r="G39" s="1343"/>
      <c r="H39" s="1343"/>
      <c r="I39" s="1343"/>
      <c r="J39" s="1342"/>
      <c r="K39" s="1342"/>
      <c r="L39" s="1344"/>
      <c r="M39" s="1342"/>
      <c r="N39" s="1342"/>
      <c r="O39" s="1359"/>
      <c r="P39" s="1342"/>
      <c r="Q39" s="1343"/>
      <c r="R39" s="1359"/>
      <c r="S39" s="1342"/>
      <c r="T39" s="1343"/>
      <c r="U39" s="1359"/>
      <c r="V39" s="1344"/>
      <c r="W39" s="1345"/>
      <c r="X39" s="1342"/>
      <c r="Y39" s="1346"/>
      <c r="Z39" s="58"/>
    </row>
    <row r="40" spans="1:28 16384:16384" s="220" customFormat="1" ht="10.4" hidden="1" customHeight="1">
      <c r="A40" s="18"/>
      <c r="B40" s="1755"/>
      <c r="C40" s="1691">
        <f>Text!$AM$41</f>
        <v>22</v>
      </c>
      <c r="D40" s="1692" t="str">
        <f>Text!$AP$41</f>
        <v>Nutzbarkeit</v>
      </c>
      <c r="E40" s="2"/>
      <c r="F40" s="1379">
        <f>Text!$AQ$41</f>
        <v>221</v>
      </c>
      <c r="G40" s="1380" t="str">
        <f>Text!$AO$41</f>
        <v>Naturgefahren</v>
      </c>
      <c r="H40" s="1342"/>
      <c r="I40" s="1379">
        <f>Text!$AQ$42</f>
        <v>222</v>
      </c>
      <c r="J40" s="1380" t="str">
        <f>Text!$AO$42</f>
        <v>Nutzungsdichte</v>
      </c>
      <c r="K40" s="1342"/>
      <c r="L40" s="1381">
        <f>Text!$AQ$43</f>
        <v>223</v>
      </c>
      <c r="M40" s="1380" t="str">
        <f>Text!$AO$43</f>
        <v>Nutzungsflexib. &amp; -variabilität</v>
      </c>
      <c r="N40" s="1343"/>
      <c r="O40" s="1358"/>
      <c r="P40" s="1357"/>
      <c r="Q40" s="1342"/>
      <c r="R40" s="1359"/>
      <c r="S40" s="1342"/>
      <c r="T40" s="1342"/>
      <c r="U40" s="1359"/>
      <c r="V40" s="1344"/>
      <c r="W40" s="1345"/>
      <c r="X40" s="1342"/>
      <c r="Y40" s="1346"/>
      <c r="XFD40" s="18"/>
    </row>
    <row r="41" spans="1:28 16384:16384" s="18" customFormat="1" ht="10.4" hidden="1" customHeight="1">
      <c r="B41" s="1755"/>
      <c r="C41" s="1691"/>
      <c r="D41" s="1692"/>
      <c r="E41" s="217"/>
      <c r="F41" s="1343"/>
      <c r="G41" s="1343"/>
      <c r="H41" s="1343"/>
      <c r="I41" s="1343"/>
      <c r="J41" s="1342"/>
      <c r="K41" s="1342"/>
      <c r="L41" s="1344"/>
      <c r="M41" s="1343"/>
      <c r="N41" s="1343"/>
      <c r="O41" s="1343"/>
      <c r="P41" s="1343"/>
      <c r="Q41" s="1342"/>
      <c r="R41" s="1342"/>
      <c r="S41" s="1344"/>
      <c r="T41" s="1342"/>
      <c r="U41" s="1359"/>
      <c r="V41" s="1344"/>
      <c r="W41" s="1345"/>
      <c r="X41" s="1342"/>
      <c r="Y41" s="1346"/>
    </row>
    <row r="42" spans="1:28 16384:16384" s="220" customFormat="1" ht="10.4" hidden="1" customHeight="1">
      <c r="A42" s="18"/>
      <c r="B42" s="1755"/>
      <c r="C42" s="1693">
        <f>Text!$AM$44</f>
        <v>23</v>
      </c>
      <c r="D42" s="1695" t="str">
        <f>Text!$AP$44</f>
        <v>Regionalökonomie</v>
      </c>
      <c r="E42" s="2"/>
      <c r="F42" s="1379">
        <f>Text!$AQ$44</f>
        <v>231</v>
      </c>
      <c r="G42" s="1380" t="str">
        <f>Text!$AO$44</f>
        <v>Regionale Wertschöpfung</v>
      </c>
      <c r="H42" s="1342"/>
      <c r="I42" s="1358"/>
      <c r="J42" s="1357"/>
      <c r="K42" s="1357"/>
      <c r="L42" s="1358"/>
      <c r="M42" s="1357"/>
      <c r="N42" s="1342"/>
      <c r="O42" s="1359"/>
      <c r="P42" s="1342"/>
      <c r="Q42" s="1342"/>
      <c r="R42" s="1359"/>
      <c r="S42" s="1342"/>
      <c r="T42" s="1342"/>
      <c r="U42" s="1359"/>
      <c r="V42" s="1344"/>
      <c r="W42" s="1345"/>
      <c r="X42" s="1342"/>
      <c r="Y42" s="1346"/>
      <c r="XFD42" s="18"/>
    </row>
    <row r="43" spans="1:28 16384:16384" s="220" customFormat="1" ht="10.4" hidden="1" customHeight="1">
      <c r="A43" s="18"/>
      <c r="B43" s="1756"/>
      <c r="C43" s="1694"/>
      <c r="D43" s="1696"/>
      <c r="E43" s="132"/>
      <c r="F43" s="1387"/>
      <c r="G43" s="1388"/>
      <c r="H43" s="1363"/>
      <c r="I43" s="1387"/>
      <c r="J43" s="1388"/>
      <c r="K43" s="1388"/>
      <c r="L43" s="1387"/>
      <c r="M43" s="1388"/>
      <c r="N43" s="1363"/>
      <c r="O43" s="1364"/>
      <c r="P43" s="1363"/>
      <c r="Q43" s="1363"/>
      <c r="R43" s="1364"/>
      <c r="S43" s="1363"/>
      <c r="T43" s="1363"/>
      <c r="U43" s="1364"/>
      <c r="V43" s="1365"/>
      <c r="W43" s="1345"/>
      <c r="X43" s="1342"/>
      <c r="Y43" s="1346"/>
      <c r="XFD43" s="18"/>
    </row>
    <row r="44" spans="1:28 16384:16384" s="18" customFormat="1" ht="10.4" hidden="1" customHeight="1" thickBot="1">
      <c r="B44" s="1156"/>
      <c r="C44" s="132"/>
      <c r="D44" s="1157"/>
      <c r="E44" s="132"/>
      <c r="F44" s="1364"/>
      <c r="G44" s="1363"/>
      <c r="H44" s="1363"/>
      <c r="I44" s="1364"/>
      <c r="J44" s="1363"/>
      <c r="K44" s="1363"/>
      <c r="L44" s="1364"/>
      <c r="M44" s="1363"/>
      <c r="N44" s="1363"/>
      <c r="O44" s="1364"/>
      <c r="P44" s="1363"/>
      <c r="Q44" s="1363"/>
      <c r="R44" s="1364"/>
      <c r="S44" s="1389"/>
      <c r="T44" s="1363"/>
      <c r="U44" s="1364"/>
      <c r="V44" s="1365"/>
      <c r="W44" s="1345"/>
      <c r="X44" s="1342"/>
      <c r="Y44" s="1346"/>
    </row>
    <row r="45" spans="1:28 16384:16384" s="220" customFormat="1" ht="10.4" hidden="1" customHeight="1" thickTop="1" thickBot="1">
      <c r="A45" s="18"/>
      <c r="B45" s="1703" t="str">
        <f>Text!$AK$46</f>
        <v>Umwelt</v>
      </c>
      <c r="C45" s="1704">
        <f>Text!$AM$46</f>
        <v>31</v>
      </c>
      <c r="D45" s="1705" t="str">
        <f>Text!$AP$46</f>
        <v>Klimaschutz</v>
      </c>
      <c r="E45" s="1152"/>
      <c r="F45" s="1337">
        <f>Text!$AQ$46</f>
        <v>311</v>
      </c>
      <c r="G45" s="1390" t="str">
        <f>Text!$AO$46</f>
        <v>THGE Erstellung</v>
      </c>
      <c r="H45" s="1349"/>
      <c r="I45" s="1337">
        <f>Text!$AQ$47</f>
        <v>312</v>
      </c>
      <c r="J45" s="1390" t="str">
        <f>Text!$AO$47</f>
        <v>THGE Betrieb</v>
      </c>
      <c r="K45" s="1349"/>
      <c r="L45" s="1370">
        <f>Text!$AQ$48</f>
        <v>313</v>
      </c>
      <c r="M45" s="1390" t="str">
        <f>Text!$AO$48</f>
        <v>THGE Mobilität</v>
      </c>
      <c r="N45" s="1349"/>
      <c r="O45" s="1375"/>
      <c r="P45" s="1353"/>
      <c r="Q45" s="1349"/>
      <c r="R45" s="1375"/>
      <c r="S45" s="1353"/>
      <c r="T45" s="1349"/>
      <c r="U45" s="1375"/>
      <c r="V45" s="1391"/>
      <c r="W45" s="1392"/>
      <c r="X45" s="1342"/>
      <c r="Y45" s="1346"/>
      <c r="XFD45" s="18"/>
    </row>
    <row r="46" spans="1:28 16384:16384" s="18" customFormat="1" ht="10.4" hidden="1" customHeight="1" thickTop="1" thickBot="1">
      <c r="B46" s="1703"/>
      <c r="C46" s="1704"/>
      <c r="D46" s="1705"/>
      <c r="E46" s="1152"/>
      <c r="F46" s="1375"/>
      <c r="G46" s="1349"/>
      <c r="H46" s="1349"/>
      <c r="I46" s="1343"/>
      <c r="J46" s="1343"/>
      <c r="K46" s="1343"/>
      <c r="L46" s="1343"/>
      <c r="M46" s="1342"/>
      <c r="N46" s="1342"/>
      <c r="O46" s="1344"/>
      <c r="P46" s="1349"/>
      <c r="Q46" s="1349"/>
      <c r="R46" s="1375"/>
      <c r="S46" s="1395"/>
      <c r="T46" s="1349"/>
      <c r="U46" s="1375"/>
      <c r="V46" s="1391"/>
      <c r="W46" s="1392"/>
      <c r="X46" s="1342"/>
      <c r="Y46" s="1346"/>
    </row>
    <row r="47" spans="1:28 16384:16384" s="220" customFormat="1" ht="10.4" hidden="1" customHeight="1" thickTop="1" thickBot="1">
      <c r="A47" s="18"/>
      <c r="B47" s="1703"/>
      <c r="C47" s="1704">
        <f>Text!$AM$49</f>
        <v>32</v>
      </c>
      <c r="D47" s="1705" t="str">
        <f>Text!$AP$49</f>
        <v>Energie</v>
      </c>
      <c r="E47" s="1152"/>
      <c r="F47" s="1337">
        <f>Text!$AQ$49</f>
        <v>321</v>
      </c>
      <c r="G47" s="1390" t="str">
        <f>Text!$AO$49</f>
        <v>Energiebedarf Erstellung</v>
      </c>
      <c r="H47" s="1349"/>
      <c r="I47" s="1337">
        <f>Text!$AQ$50</f>
        <v>322</v>
      </c>
      <c r="J47" s="1390" t="str">
        <f>Text!$AO$50</f>
        <v>Energiebedarf Betrieb</v>
      </c>
      <c r="K47" s="1349"/>
      <c r="L47" s="1396"/>
      <c r="M47" s="1353"/>
      <c r="N47" s="1349"/>
      <c r="O47" s="1375"/>
      <c r="P47" s="1349"/>
      <c r="Q47" s="1349"/>
      <c r="R47" s="1375"/>
      <c r="S47" s="1349"/>
      <c r="T47" s="1349"/>
      <c r="U47" s="1375"/>
      <c r="V47" s="1391"/>
      <c r="W47" s="1392"/>
      <c r="X47" s="1342"/>
      <c r="Y47" s="1346"/>
      <c r="XFD47" s="18"/>
    </row>
    <row r="48" spans="1:28 16384:16384" s="18" customFormat="1" ht="10.4" hidden="1" customHeight="1" thickTop="1" thickBot="1">
      <c r="B48" s="1703"/>
      <c r="C48" s="1704"/>
      <c r="D48" s="1705"/>
      <c r="E48" s="1152"/>
      <c r="F48" s="1375"/>
      <c r="G48" s="1349"/>
      <c r="H48" s="1349"/>
      <c r="I48" s="1343"/>
      <c r="J48" s="1343"/>
      <c r="K48" s="1343"/>
      <c r="L48" s="1343"/>
      <c r="M48" s="1342"/>
      <c r="N48" s="1342"/>
      <c r="O48" s="1344"/>
      <c r="P48" s="1349"/>
      <c r="Q48" s="1349"/>
      <c r="R48" s="1375"/>
      <c r="S48" s="1349"/>
      <c r="T48" s="1349"/>
      <c r="U48" s="1375"/>
      <c r="V48" s="1391"/>
      <c r="W48" s="1392"/>
      <c r="X48" s="1342"/>
      <c r="Y48" s="1346"/>
    </row>
    <row r="49" spans="1:28" s="14" customFormat="1" ht="10.4" hidden="1" customHeight="1" thickTop="1" thickBot="1">
      <c r="B49" s="1703"/>
      <c r="C49" s="1704">
        <f>Text!$AM$51</f>
        <v>33</v>
      </c>
      <c r="D49" s="1705" t="str">
        <f>Text!$AP$51</f>
        <v>Ressourcenschonung &amp; Umweltschutz</v>
      </c>
      <c r="E49" s="1152"/>
      <c r="F49" s="1337">
        <f>Text!$AQ$51</f>
        <v>331</v>
      </c>
      <c r="G49" s="1390" t="str">
        <f>Text!$AO$51</f>
        <v>Baustelle</v>
      </c>
      <c r="H49" s="1349"/>
      <c r="I49" s="1337">
        <f>Text!$AQ$52</f>
        <v>332</v>
      </c>
      <c r="J49" s="1390" t="str">
        <f>Text!$AO$52</f>
        <v>Ökologische Baustoffe</v>
      </c>
      <c r="K49" s="1339"/>
      <c r="L49" s="1370">
        <f>Text!$AQ$53</f>
        <v>333</v>
      </c>
      <c r="M49" s="1390" t="str">
        <f>Text!$AO$53</f>
        <v>Systematische Inbetriebnahme</v>
      </c>
      <c r="N49" s="1339"/>
      <c r="O49" s="1370">
        <f>Text!$AQ$54</f>
        <v>334</v>
      </c>
      <c r="P49" s="1390" t="str">
        <f>Text!$AO$54</f>
        <v>Energiemonitoring</v>
      </c>
      <c r="Q49" s="1349"/>
      <c r="R49" s="1370">
        <f>Text!$AQ$55</f>
        <v>335</v>
      </c>
      <c r="S49" s="1390" t="str">
        <f>Text!$AO$55</f>
        <v>Mobilitätsmassnahmen</v>
      </c>
      <c r="T49" s="1339"/>
      <c r="U49" s="1370">
        <f>Text!$AQ$56</f>
        <v>336</v>
      </c>
      <c r="V49" s="1390" t="str">
        <f>Text!$AO$56</f>
        <v>Elektro-Mobilität</v>
      </c>
      <c r="W49" s="1392"/>
      <c r="X49" s="1342"/>
      <c r="Y49" s="1346"/>
    </row>
    <row r="50" spans="1:28" s="14" customFormat="1" ht="10.4" hidden="1" customHeight="1" thickTop="1" thickBot="1">
      <c r="B50" s="1703"/>
      <c r="C50" s="1704"/>
      <c r="D50" s="1705"/>
      <c r="E50" s="1152"/>
      <c r="F50" s="1375"/>
      <c r="G50" s="1349"/>
      <c r="H50" s="1349"/>
      <c r="I50" s="1375"/>
      <c r="J50" s="1349"/>
      <c r="K50" s="1349"/>
      <c r="L50" s="1375"/>
      <c r="M50" s="1349"/>
      <c r="N50" s="1349"/>
      <c r="O50" s="1343"/>
      <c r="P50" s="1343"/>
      <c r="Q50" s="1343"/>
      <c r="R50" s="1343"/>
      <c r="S50" s="1342"/>
      <c r="T50" s="1342"/>
      <c r="U50" s="1344"/>
      <c r="V50" s="1391"/>
      <c r="W50" s="1392"/>
      <c r="X50" s="1342"/>
      <c r="Y50" s="1346"/>
    </row>
    <row r="51" spans="1:28" s="14" customFormat="1" ht="10.4" hidden="1" customHeight="1" thickTop="1" thickBot="1">
      <c r="B51" s="1703"/>
      <c r="C51" s="1704">
        <f>Text!$AM$57</f>
        <v>34</v>
      </c>
      <c r="D51" s="1705" t="str">
        <f>Text!$AP$57</f>
        <v>Natur &amp; Landschaft</v>
      </c>
      <c r="E51" s="1147"/>
      <c r="F51" s="1337">
        <f>Text!$AQ$57</f>
        <v>341</v>
      </c>
      <c r="G51" s="1390" t="str">
        <f>Text!$AO$57</f>
        <v>Biodiversität</v>
      </c>
      <c r="H51" s="1349"/>
      <c r="I51" s="1337">
        <f>Text!$AQ$58</f>
        <v>342</v>
      </c>
      <c r="J51" s="1390" t="str">
        <f>Text!$AO$58</f>
        <v>Wasser</v>
      </c>
      <c r="K51" s="1349"/>
      <c r="L51" s="1370">
        <f>Text!$AQ$59</f>
        <v>343</v>
      </c>
      <c r="M51" s="1390" t="str">
        <f>Text!$AO$59</f>
        <v>Haushälterische Bodennutz.</v>
      </c>
      <c r="N51" s="1349"/>
      <c r="O51" s="1349"/>
      <c r="P51" s="1349"/>
      <c r="Q51" s="1349"/>
      <c r="R51" s="1349"/>
      <c r="S51" s="1349"/>
      <c r="T51" s="1349"/>
      <c r="U51" s="1349"/>
      <c r="V51" s="1391"/>
      <c r="W51" s="1392"/>
      <c r="X51" s="1342"/>
      <c r="Y51" s="1346"/>
    </row>
    <row r="52" spans="1:28" s="1" customFormat="1" ht="10.4" hidden="1" customHeight="1" thickTop="1" thickBot="1">
      <c r="A52" s="82"/>
      <c r="B52" s="1703"/>
      <c r="C52" s="1704"/>
      <c r="D52" s="1705"/>
      <c r="E52" s="1160"/>
      <c r="F52" s="1398"/>
      <c r="G52" s="1398"/>
      <c r="H52" s="1399"/>
      <c r="I52" s="1343"/>
      <c r="J52" s="1343"/>
      <c r="K52" s="1343"/>
      <c r="L52" s="1343"/>
      <c r="M52" s="1342"/>
      <c r="N52" s="1342"/>
      <c r="O52" s="1344"/>
      <c r="P52" s="1399"/>
      <c r="Q52" s="1399"/>
      <c r="R52" s="1399"/>
      <c r="S52" s="1399"/>
      <c r="T52" s="1399"/>
      <c r="U52" s="1399"/>
      <c r="V52" s="1399"/>
      <c r="W52" s="1400"/>
      <c r="X52" s="1400"/>
      <c r="Y52" s="1400"/>
    </row>
    <row r="53" spans="1:28" s="1" customFormat="1" ht="10.4" hidden="1" customHeight="1" thickTop="1">
      <c r="D53"/>
      <c r="E53" s="1280"/>
      <c r="F53" s="1288"/>
      <c r="G53" s="1288"/>
      <c r="H53" s="219"/>
      <c r="I53" s="218"/>
      <c r="J53" s="1282"/>
      <c r="K53" s="1227"/>
      <c r="L53" s="755"/>
      <c r="M53" s="755"/>
      <c r="N53" s="755"/>
      <c r="O53" s="755"/>
      <c r="P53" s="755"/>
      <c r="Q53" s="755"/>
      <c r="R53" s="755"/>
      <c r="S53" s="755"/>
      <c r="T53"/>
      <c r="U53"/>
      <c r="V53"/>
      <c r="W53" s="2"/>
      <c r="X53" s="60"/>
      <c r="Y53" s="61"/>
      <c r="Z53" s="18"/>
      <c r="AA53" s="67"/>
    </row>
    <row r="54" spans="1:28" s="1" customFormat="1" ht="3" hidden="1" customHeight="1">
      <c r="D54"/>
      <c r="E54" s="1280"/>
      <c r="F54" s="1284"/>
      <c r="G54" s="1284"/>
      <c r="H54" s="220"/>
      <c r="I54" s="218"/>
      <c r="J54" s="1227"/>
      <c r="K54" s="1285"/>
      <c r="L54" s="755"/>
      <c r="M54" s="755"/>
      <c r="N54" s="755"/>
      <c r="O54" s="755"/>
      <c r="P54" s="755"/>
      <c r="Q54" s="755"/>
      <c r="R54" s="755"/>
      <c r="S54" s="1286"/>
      <c r="T54"/>
      <c r="U54"/>
      <c r="V54"/>
      <c r="W54" s="2"/>
      <c r="X54" s="60"/>
      <c r="Y54" s="61"/>
      <c r="Z54" s="18"/>
      <c r="AA54" s="67"/>
    </row>
    <row r="55" spans="1:28" s="1" customFormat="1" ht="10.4" hidden="1" customHeight="1">
      <c r="D55" s="1762"/>
      <c r="E55" s="1280"/>
      <c r="F55" s="1763"/>
      <c r="G55" s="1763"/>
      <c r="H55" s="219"/>
      <c r="I55" s="218"/>
      <c r="J55" s="1765"/>
      <c r="K55" s="1766"/>
      <c r="L55" s="755"/>
      <c r="M55" s="755"/>
      <c r="N55" s="755"/>
      <c r="O55" s="755"/>
      <c r="P55" s="755"/>
      <c r="Q55" s="755"/>
      <c r="R55" s="755"/>
      <c r="S55" s="755"/>
      <c r="T55"/>
      <c r="U55"/>
      <c r="V55"/>
      <c r="W55" s="2"/>
      <c r="X55" s="60"/>
      <c r="Y55" s="68"/>
      <c r="Z55" s="18"/>
      <c r="AA55" s="18"/>
      <c r="AB55" s="69"/>
    </row>
    <row r="56" spans="1:28" s="1" customFormat="1" ht="10.4" hidden="1" customHeight="1">
      <c r="D56" s="1762"/>
      <c r="E56" s="1280"/>
      <c r="F56" s="1763"/>
      <c r="G56" s="1763"/>
      <c r="H56" s="219"/>
      <c r="I56" s="218"/>
      <c r="J56" s="1227"/>
      <c r="K56" s="1285"/>
      <c r="L56" s="755"/>
      <c r="M56" s="755"/>
      <c r="N56" s="755"/>
      <c r="O56" s="755"/>
      <c r="P56" s="755"/>
      <c r="Q56" s="755"/>
      <c r="R56" s="755"/>
      <c r="S56" s="755"/>
      <c r="T56"/>
      <c r="U56"/>
      <c r="V56"/>
      <c r="W56" s="2"/>
      <c r="X56" s="60"/>
      <c r="Y56" s="68"/>
      <c r="Z56" s="18"/>
      <c r="AA56" s="18"/>
      <c r="AB56" s="69"/>
    </row>
    <row r="57" spans="1:28" s="1" customFormat="1" ht="3" hidden="1" customHeight="1">
      <c r="D57" s="1287"/>
      <c r="E57" s="1280"/>
      <c r="F57" s="1278"/>
      <c r="G57" s="1281"/>
      <c r="H57" s="219"/>
      <c r="I57" s="218"/>
      <c r="J57" s="1227"/>
      <c r="K57" s="1285"/>
      <c r="L57" s="755"/>
      <c r="M57" s="755"/>
      <c r="N57" s="755"/>
      <c r="O57" s="755"/>
      <c r="P57" s="755"/>
      <c r="Q57" s="755"/>
      <c r="R57" s="755"/>
      <c r="S57" s="755"/>
      <c r="T57"/>
      <c r="U57"/>
      <c r="V57"/>
      <c r="W57" s="2"/>
      <c r="X57" s="60"/>
      <c r="Y57" s="68"/>
      <c r="Z57" s="18"/>
      <c r="AA57" s="18"/>
      <c r="AB57" s="69"/>
    </row>
    <row r="58" spans="1:28" s="1" customFormat="1" ht="10.4" hidden="1" customHeight="1">
      <c r="D58" s="1287"/>
      <c r="E58" s="1280"/>
      <c r="F58" s="1763"/>
      <c r="G58" s="1763"/>
      <c r="H58" s="219"/>
      <c r="I58" s="218"/>
      <c r="J58" s="1765"/>
      <c r="K58" s="1766"/>
      <c r="L58" s="755"/>
      <c r="M58" s="755"/>
      <c r="N58" s="755"/>
      <c r="O58" s="755"/>
      <c r="P58" s="755"/>
      <c r="Q58" s="755"/>
      <c r="R58" s="755"/>
      <c r="S58" s="755"/>
      <c r="T58"/>
      <c r="U58"/>
      <c r="V58"/>
      <c r="W58" s="2"/>
      <c r="X58" s="60"/>
      <c r="Y58" s="58"/>
      <c r="Z58" s="18"/>
      <c r="AA58" s="18"/>
      <c r="AB58" s="69"/>
    </row>
    <row r="59" spans="1:28" s="1" customFormat="1" ht="10.4" hidden="1" customHeight="1">
      <c r="D59" s="1287"/>
      <c r="E59" s="1280"/>
      <c r="F59" s="1763"/>
      <c r="G59" s="1763"/>
      <c r="H59" s="219"/>
      <c r="I59" s="218"/>
      <c r="J59" s="1227"/>
      <c r="K59" s="1285"/>
      <c r="L59" s="755"/>
      <c r="M59" s="755"/>
      <c r="N59" s="755"/>
      <c r="O59" s="755"/>
      <c r="P59" s="755"/>
      <c r="Q59" s="755"/>
      <c r="R59" s="755"/>
      <c r="S59" s="755"/>
      <c r="T59"/>
      <c r="U59"/>
      <c r="V59"/>
      <c r="W59" s="2"/>
      <c r="X59" s="60"/>
      <c r="Y59" s="58"/>
      <c r="Z59" s="18"/>
      <c r="AA59" s="18"/>
      <c r="AB59" s="69"/>
    </row>
    <row r="60" spans="1:28" s="1" customFormat="1" ht="3" hidden="1" customHeight="1">
      <c r="D60" s="1287"/>
      <c r="E60" s="1280"/>
      <c r="F60" s="1278"/>
      <c r="G60" s="1281"/>
      <c r="H60" s="219"/>
      <c r="I60" s="218"/>
      <c r="J60" s="1227"/>
      <c r="K60" s="1285"/>
      <c r="L60" s="755"/>
      <c r="M60" s="755"/>
      <c r="N60" s="755"/>
      <c r="O60" s="755"/>
      <c r="P60" s="755"/>
      <c r="Q60" s="755"/>
      <c r="R60" s="755"/>
      <c r="S60" s="755"/>
      <c r="T60"/>
      <c r="U60"/>
      <c r="V60"/>
      <c r="W60" s="2"/>
      <c r="X60" s="60"/>
      <c r="Y60" s="58"/>
      <c r="Z60" s="18"/>
      <c r="AA60" s="18"/>
      <c r="AB60" s="69"/>
    </row>
    <row r="61" spans="1:28" s="1" customFormat="1" ht="10.4" hidden="1" customHeight="1">
      <c r="D61" s="1287"/>
      <c r="E61" s="1280"/>
      <c r="F61" s="1763"/>
      <c r="G61" s="1763"/>
      <c r="H61" s="219"/>
      <c r="I61" s="218"/>
      <c r="J61" s="1765"/>
      <c r="K61" s="1766"/>
      <c r="L61" s="755"/>
      <c r="M61" s="755"/>
      <c r="N61" s="755"/>
      <c r="O61" s="755"/>
      <c r="P61" s="755"/>
      <c r="Q61" s="1283"/>
      <c r="R61" s="755"/>
      <c r="S61" s="755"/>
      <c r="T61"/>
      <c r="U61"/>
      <c r="V61"/>
      <c r="W61" s="2"/>
      <c r="X61" s="60"/>
      <c r="Y61" s="58"/>
      <c r="Z61" s="18"/>
      <c r="AA61" s="70"/>
      <c r="AB61" s="71"/>
    </row>
    <row r="62" spans="1:28" s="1" customFormat="1" ht="10.4" hidden="1" customHeight="1">
      <c r="D62" s="1287"/>
      <c r="E62" s="1280"/>
      <c r="F62" s="1763"/>
      <c r="G62" s="1763"/>
      <c r="H62" s="219"/>
      <c r="I62" s="218"/>
      <c r="J62" s="1765"/>
      <c r="K62" s="1766"/>
      <c r="L62" s="755"/>
      <c r="M62" s="755"/>
      <c r="N62" s="755"/>
      <c r="O62" s="755"/>
      <c r="P62" s="755"/>
      <c r="Q62" s="1283"/>
      <c r="R62" s="755"/>
      <c r="S62" s="755"/>
      <c r="T62"/>
      <c r="U62"/>
      <c r="V62"/>
      <c r="W62" s="2"/>
      <c r="X62" s="60"/>
      <c r="Y62" s="58"/>
      <c r="Z62" s="18"/>
      <c r="AA62" s="70"/>
      <c r="AB62" s="71"/>
    </row>
    <row r="63" spans="1:28" s="1" customFormat="1" ht="10.4" hidden="1" customHeight="1">
      <c r="D63" s="1287"/>
      <c r="E63" s="1280"/>
      <c r="F63" s="1278"/>
      <c r="G63" s="1281"/>
      <c r="H63" s="219"/>
      <c r="I63" s="218"/>
      <c r="J63" s="1765"/>
      <c r="K63" s="1766"/>
      <c r="L63" s="755"/>
      <c r="M63" s="755"/>
      <c r="N63" s="755"/>
      <c r="O63" s="755"/>
      <c r="P63" s="755"/>
      <c r="Q63" s="1283"/>
      <c r="R63" s="755"/>
      <c r="S63" s="755"/>
      <c r="T63"/>
      <c r="U63"/>
      <c r="V63"/>
      <c r="W63" s="2"/>
      <c r="X63" s="60"/>
      <c r="Y63" s="58"/>
      <c r="Z63" s="18"/>
      <c r="AA63" s="70"/>
      <c r="AB63" s="71"/>
    </row>
    <row r="64" spans="1:28" s="1" customFormat="1" ht="3" hidden="1" customHeight="1">
      <c r="D64" s="1287"/>
      <c r="E64" s="1280"/>
      <c r="F64" s="1278"/>
      <c r="G64" s="1281"/>
      <c r="H64" s="219"/>
      <c r="I64" s="218"/>
      <c r="J64" s="1282"/>
      <c r="K64" s="1227"/>
      <c r="L64" s="755"/>
      <c r="M64" s="755"/>
      <c r="N64" s="755"/>
      <c r="O64" s="755"/>
      <c r="P64" s="755"/>
      <c r="Q64" s="755"/>
      <c r="R64" s="755"/>
      <c r="S64" s="755"/>
      <c r="T64"/>
      <c r="U64"/>
      <c r="V64"/>
      <c r="W64" s="2"/>
      <c r="X64" s="60"/>
      <c r="Y64" s="58"/>
      <c r="Z64" s="14"/>
      <c r="AA64" s="14"/>
      <c r="AB64" s="19"/>
    </row>
    <row r="65" spans="4:28 16384:16384" s="1" customFormat="1" ht="10.4" hidden="1" customHeight="1">
      <c r="D65" s="1287"/>
      <c r="E65" s="1280"/>
      <c r="F65" s="1763"/>
      <c r="G65" s="1763"/>
      <c r="H65" s="219"/>
      <c r="I65" s="218"/>
      <c r="J65" s="1765"/>
      <c r="K65" s="1766"/>
      <c r="L65" s="755"/>
      <c r="M65" s="755"/>
      <c r="N65" s="755"/>
      <c r="O65" s="755"/>
      <c r="P65" s="755"/>
      <c r="Q65" s="755"/>
      <c r="R65" s="755"/>
      <c r="S65" s="755"/>
      <c r="T65"/>
      <c r="U65"/>
      <c r="V65"/>
      <c r="W65" s="2"/>
      <c r="X65" s="60"/>
      <c r="Y65" s="58"/>
      <c r="Z65" s="14"/>
      <c r="AA65" s="14"/>
      <c r="AB65" s="19"/>
    </row>
    <row r="66" spans="4:28 16384:16384" s="1" customFormat="1" ht="10.4" hidden="1" customHeight="1">
      <c r="D66" s="1287"/>
      <c r="E66" s="1280"/>
      <c r="F66" s="1763"/>
      <c r="G66" s="1763"/>
      <c r="H66" s="219"/>
      <c r="I66" s="218"/>
      <c r="J66" s="1765"/>
      <c r="K66" s="1766"/>
      <c r="L66" s="755"/>
      <c r="M66" s="755"/>
      <c r="N66" s="755"/>
      <c r="O66" s="755"/>
      <c r="P66" s="755"/>
      <c r="Q66" s="755"/>
      <c r="R66" s="755"/>
      <c r="S66" s="755"/>
      <c r="T66"/>
      <c r="U66"/>
      <c r="V66"/>
      <c r="W66" s="2"/>
      <c r="X66" s="60"/>
      <c r="Y66" s="58"/>
      <c r="Z66" s="14"/>
      <c r="AA66" s="14"/>
      <c r="AB66" s="19"/>
    </row>
    <row r="67" spans="4:28 16384:16384" s="1" customFormat="1" ht="10.4" hidden="1" customHeight="1">
      <c r="D67" s="1287"/>
      <c r="E67" s="1280"/>
      <c r="F67" s="1281"/>
      <c r="G67" s="1281"/>
      <c r="H67" s="219"/>
      <c r="I67" s="218"/>
      <c r="J67" s="1407"/>
      <c r="K67" s="1407"/>
      <c r="L67" s="220"/>
      <c r="M67" s="220"/>
      <c r="N67" s="220"/>
      <c r="O67" s="220"/>
      <c r="P67" s="220"/>
      <c r="Q67" s="220"/>
      <c r="R67" s="220"/>
      <c r="S67" s="220"/>
      <c r="T67"/>
      <c r="U67"/>
      <c r="V67"/>
      <c r="W67" s="18"/>
      <c r="X67" s="18"/>
      <c r="Y67" s="58"/>
      <c r="Z67" s="14"/>
      <c r="AA67" s="14"/>
      <c r="AB67" s="19"/>
    </row>
    <row r="68" spans="4:28 16384:16384" s="48" customFormat="1" ht="20.149999999999999" hidden="1" customHeight="1" thickTop="1">
      <c r="G68" s="195"/>
      <c r="H68" s="195"/>
      <c r="I68" s="195"/>
      <c r="J68" s="195"/>
      <c r="K68" s="195"/>
      <c r="L68" s="195"/>
      <c r="M68" s="195"/>
      <c r="N68" s="195"/>
      <c r="O68" s="195"/>
      <c r="P68" s="195"/>
      <c r="Q68" s="195"/>
      <c r="R68" s="195"/>
      <c r="S68" s="195"/>
      <c r="T68" s="196"/>
      <c r="U68" s="196"/>
      <c r="V68" s="197"/>
      <c r="W68" s="198"/>
    </row>
    <row r="69" spans="4:28 16384:16384" s="48" customFormat="1" ht="20.149999999999999" hidden="1" customHeight="1">
      <c r="D69" s="88" t="str">
        <f>Text!C330</f>
        <v>Zurück</v>
      </c>
      <c r="H69" s="199"/>
      <c r="I69" s="199"/>
      <c r="J69" s="199"/>
      <c r="K69" s="199"/>
      <c r="L69" s="199"/>
      <c r="M69" s="199"/>
      <c r="N69" s="199"/>
      <c r="O69" s="199"/>
      <c r="P69" s="199"/>
      <c r="Q69" s="199"/>
      <c r="R69" s="200"/>
      <c r="V69" s="89"/>
      <c r="W69" s="198"/>
      <c r="Y69" s="89" t="str">
        <f>Text!C331</f>
        <v>Weiter</v>
      </c>
    </row>
    <row r="70" spans="4:28 16384:16384" s="48" customFormat="1" ht="20.149999999999999" hidden="1" customHeight="1">
      <c r="G70" s="195"/>
      <c r="H70" s="195"/>
      <c r="I70" s="195"/>
      <c r="J70" s="195"/>
      <c r="K70" s="195"/>
      <c r="L70" s="195"/>
      <c r="M70" s="195"/>
      <c r="N70" s="195"/>
      <c r="O70" s="195"/>
      <c r="P70" s="195"/>
      <c r="Q70" s="195"/>
      <c r="R70" s="195"/>
      <c r="S70" s="195"/>
      <c r="T70" s="196"/>
      <c r="U70" s="196"/>
      <c r="V70" s="197"/>
      <c r="W70" s="198"/>
    </row>
    <row r="71" spans="4:28 16384:16384" s="1" customFormat="1" ht="20.149999999999999" hidden="1" customHeight="1">
      <c r="G71" s="1764" t="str">
        <f>Text!C340</f>
        <v>Nummerierung der Kriterien</v>
      </c>
      <c r="H71" s="1764"/>
      <c r="I71" s="1764"/>
      <c r="J71" s="1764"/>
      <c r="K71" s="1764"/>
      <c r="L71" s="1764"/>
      <c r="M71" s="1764"/>
      <c r="N71" s="1764"/>
      <c r="O71" s="1764"/>
      <c r="P71" s="1764"/>
      <c r="Q71" s="1764"/>
      <c r="R71" s="1764"/>
      <c r="S71" s="1764"/>
      <c r="T71" s="73"/>
      <c r="U71" s="73"/>
      <c r="V71" s="98"/>
      <c r="W71" s="64"/>
    </row>
    <row r="72" spans="4:28 16384:16384" s="1" customFormat="1" ht="20.149999999999999" hidden="1" customHeight="1">
      <c r="G72" s="51"/>
      <c r="H72" s="72"/>
      <c r="I72" s="72"/>
      <c r="J72" s="72"/>
      <c r="K72" s="72"/>
      <c r="L72" s="72"/>
      <c r="M72" s="72"/>
      <c r="N72" s="72"/>
      <c r="O72" s="72"/>
      <c r="P72" s="72"/>
      <c r="Q72" s="72"/>
      <c r="R72" s="72"/>
      <c r="S72" s="72"/>
      <c r="T72" s="73"/>
      <c r="U72" s="73"/>
      <c r="V72" s="98"/>
      <c r="W72" s="64"/>
    </row>
    <row r="73" spans="4:28 16384:16384" s="1" customFormat="1" ht="30" hidden="1" customHeight="1">
      <c r="D73" s="1767" t="str">
        <f>Text!C341&amp;"
"&amp;Text!C342</f>
        <v>Die Nummerierung der Kriterien ist wie folgt strukturiert: Die erste Ziffer steht für den Bereich, die zweite Ziffer für das Thema und die dritte Ziffer nummeriert die maximal 7 Kriterien pro Thema.
Weitere Informationen finden Sie im ''Info''-Blatt im Menü oben, oder direkt im SNBS-Kriterienbeschrieb.</v>
      </c>
      <c r="E73" s="1767"/>
      <c r="F73" s="1767"/>
      <c r="G73" s="1767"/>
      <c r="H73" s="1767"/>
      <c r="I73" s="1767"/>
      <c r="J73" s="1767"/>
      <c r="K73" s="1767"/>
      <c r="L73" s="1767"/>
      <c r="M73" s="1767"/>
      <c r="N73" s="1767"/>
      <c r="O73" s="1767"/>
      <c r="P73" s="1767"/>
      <c r="Q73" s="1767"/>
      <c r="R73" s="1767"/>
      <c r="S73" s="1767"/>
      <c r="T73" s="1767"/>
      <c r="U73" s="1767"/>
      <c r="V73" s="1767"/>
      <c r="W73" s="1767"/>
      <c r="X73" s="1767"/>
      <c r="Y73" s="1767"/>
    </row>
    <row r="74" spans="4:28 16384:16384" s="1" customFormat="1" ht="15" hidden="1" customHeight="1">
      <c r="D74" s="13"/>
      <c r="E74" s="13"/>
      <c r="F74" s="13"/>
      <c r="G74" s="13"/>
      <c r="H74" s="13"/>
      <c r="I74" s="13"/>
      <c r="J74" s="13"/>
      <c r="K74" s="13"/>
      <c r="L74" s="13"/>
      <c r="M74" s="13"/>
      <c r="N74" s="13"/>
      <c r="O74" s="13"/>
      <c r="P74" s="13"/>
      <c r="Q74" s="13"/>
      <c r="R74" s="13"/>
      <c r="S74" s="13"/>
      <c r="T74" s="13"/>
      <c r="U74" s="13"/>
      <c r="V74" s="13"/>
      <c r="W74" s="13"/>
      <c r="X74" s="13"/>
    </row>
    <row r="75" spans="4:28 16384:16384" s="1" customFormat="1" ht="15" hidden="1" customHeight="1" thickBot="1">
      <c r="D75" s="160" t="str">
        <f>Text!AK22</f>
        <v>Bereich</v>
      </c>
      <c r="E75" s="160"/>
      <c r="G75" s="160" t="str">
        <f>Text!AL22</f>
        <v>Thema</v>
      </c>
      <c r="H75" s="160"/>
      <c r="I75" s="53"/>
      <c r="J75" s="162" t="str">
        <f>Text!AN22</f>
        <v>Kriterium</v>
      </c>
      <c r="K75" s="163"/>
      <c r="L75" s="54"/>
      <c r="M75" s="160"/>
      <c r="Q75" s="55"/>
      <c r="R75" s="55"/>
      <c r="S75" s="55"/>
      <c r="T75" s="56"/>
      <c r="U75" s="56"/>
      <c r="W75" s="64"/>
      <c r="XFD75" s="1552" t="str">
        <f>Text!C344</f>
        <v>Falls nötig, [nummerierter] Verweis auf ''Info''</v>
      </c>
    </row>
    <row r="76" spans="4:28 16384:16384" s="1" customFormat="1" ht="15" hidden="1" customHeight="1" thickTop="1" thickBot="1">
      <c r="D76" s="278" t="str">
        <f>Text!AK23</f>
        <v>Gesellschaft</v>
      </c>
      <c r="E76" s="57"/>
      <c r="F76" s="1409">
        <f>Text!AM23</f>
        <v>11</v>
      </c>
      <c r="G76" s="1757" t="str">
        <f>Text!AL23</f>
        <v>Qualität der Entwicklung</v>
      </c>
      <c r="H76" s="1757"/>
      <c r="I76" s="1337">
        <f>Text!$AQ$23</f>
        <v>111</v>
      </c>
      <c r="J76" s="1758" t="str">
        <f>Text!AN23</f>
        <v>Ziele &amp; Pflichtenhefte Klima</v>
      </c>
      <c r="K76" s="1759"/>
      <c r="L76" s="1760"/>
      <c r="M76" s="160"/>
      <c r="Q76" s="2"/>
      <c r="R76" s="2"/>
      <c r="S76" s="1408" t="str">
        <f>IF(S79="",Text!C348,"")</f>
        <v>Bitte Antwort auswählen</v>
      </c>
      <c r="U76" s="149"/>
      <c r="V76" s="148" t="str">
        <f>Text!C343</f>
        <v>Kriterium, zu welchem die Frage einen Bezug hat</v>
      </c>
      <c r="W76" s="64"/>
      <c r="XFD76" s="452"/>
    </row>
    <row r="77" spans="4:28 16384:16384" s="1" customFormat="1" ht="15" hidden="1" customHeight="1">
      <c r="S77" s="484" t="str">
        <f>IF(S79="","   ↓","")</f>
        <v xml:space="preserve">   ↓</v>
      </c>
      <c r="V77" s="452" t="s">
        <v>130</v>
      </c>
      <c r="XFD77" s="452" t="s">
        <v>130</v>
      </c>
    </row>
    <row r="78" spans="4:28 16384:16384" s="1164" customFormat="1" ht="15" hidden="1" customHeight="1">
      <c r="D78" s="1761" t="str">
        <f>Text!C61</f>
        <v xml:space="preserve">Wird das Projekt im Rahmen eines Wettbewerbs oder einem Studienauftrag mit Planerwahlverfahren erarbeitet? (im Idealfall gemäss Ordnung SIA 142 oder 143) (Wettbewerb nach SIA 142:2009 ''Ordnung für Architektur- und Ingenieurwettbewerbe'', Studienauftrag nach SIA 143:2009 ''Ordnung für Architektur- und Ingenieurstudienaufträge'')     </v>
      </c>
      <c r="E78" s="1761"/>
      <c r="F78" s="1761"/>
      <c r="G78" s="1761"/>
      <c r="H78" s="1761"/>
      <c r="I78" s="1761"/>
      <c r="J78" s="1761"/>
      <c r="K78" s="1761"/>
      <c r="L78" s="1761"/>
      <c r="M78" s="1761"/>
      <c r="N78" s="1761"/>
      <c r="O78" s="1761"/>
      <c r="P78" s="1761"/>
      <c r="Q78" s="1761"/>
      <c r="R78" s="1"/>
      <c r="S78" s="1"/>
      <c r="T78" s="1"/>
      <c r="U78" s="1"/>
      <c r="V78" s="1174">
        <v>112</v>
      </c>
      <c r="XFD78" s="1164" t="str">
        <f>Text!C11</f>
        <v>Info [2]</v>
      </c>
    </row>
    <row r="79" spans="4:28 16384:16384" s="1164" customFormat="1" ht="15" hidden="1" customHeight="1">
      <c r="D79" s="1761"/>
      <c r="E79" s="1761"/>
      <c r="F79" s="1761"/>
      <c r="G79" s="1761"/>
      <c r="H79" s="1761"/>
      <c r="I79" s="1761"/>
      <c r="J79" s="1761"/>
      <c r="K79" s="1761"/>
      <c r="L79" s="1761"/>
      <c r="M79" s="1761"/>
      <c r="N79" s="1761"/>
      <c r="O79" s="1761"/>
      <c r="P79" s="1761"/>
      <c r="Q79" s="1761"/>
      <c r="R79" s="1"/>
      <c r="S79" s="9"/>
      <c r="T79" s="1"/>
      <c r="U79" s="1"/>
    </row>
    <row r="80" spans="4:28 16384:16384" s="1" customFormat="1" ht="15" hidden="1" customHeight="1">
      <c r="S80" s="48"/>
    </row>
    <row r="81" spans="3:25" s="1" customFormat="1" ht="30" hidden="1" customHeight="1">
      <c r="D81" s="1771"/>
      <c r="E81" s="1771"/>
      <c r="F81" s="1771"/>
      <c r="G81" s="1771"/>
      <c r="H81" s="1771"/>
      <c r="I81" s="1771"/>
      <c r="J81" s="1771"/>
      <c r="K81" s="1771"/>
      <c r="L81" s="1771"/>
      <c r="M81" s="1771"/>
      <c r="N81" s="1771"/>
      <c r="O81" s="1771"/>
      <c r="P81" s="1771"/>
      <c r="Q81" s="1771"/>
      <c r="R81" s="1771"/>
      <c r="S81" s="1774"/>
      <c r="T81" s="1774"/>
      <c r="U81" s="1774"/>
      <c r="V81" s="1774"/>
      <c r="W81" s="13"/>
      <c r="X81" s="13"/>
    </row>
    <row r="82" spans="3:25" s="48" customFormat="1" ht="20.149999999999999" hidden="1" customHeight="1">
      <c r="G82" s="199"/>
      <c r="H82" s="199"/>
      <c r="I82" s="199"/>
      <c r="J82" s="199"/>
      <c r="K82" s="199"/>
      <c r="L82" s="200"/>
      <c r="M82" s="199"/>
      <c r="N82" s="199"/>
      <c r="O82" s="199"/>
      <c r="P82" s="199"/>
      <c r="Q82" s="199"/>
      <c r="R82" s="200"/>
      <c r="S82" s="199"/>
      <c r="V82" s="201"/>
      <c r="W82" s="91"/>
    </row>
    <row r="83" spans="3:25" s="48" customFormat="1" ht="20.149999999999999" hidden="1" customHeight="1">
      <c r="D83" s="88" t="str">
        <f>Text!C330</f>
        <v>Zurück</v>
      </c>
      <c r="H83" s="199"/>
      <c r="I83" s="199"/>
      <c r="J83" s="199"/>
      <c r="K83" s="199"/>
      <c r="L83" s="199"/>
      <c r="M83" s="199"/>
      <c r="N83" s="199"/>
      <c r="O83" s="199"/>
      <c r="P83" s="199"/>
      <c r="Q83" s="199"/>
      <c r="R83" s="200"/>
      <c r="V83" s="89"/>
      <c r="W83" s="91"/>
      <c r="Y83" s="89" t="str">
        <f>Text!C331</f>
        <v>Weiter</v>
      </c>
    </row>
    <row r="84" spans="3:25" s="48" customFormat="1" ht="20.149999999999999" hidden="1" customHeight="1">
      <c r="G84" s="88"/>
      <c r="H84" s="199"/>
      <c r="I84" s="199"/>
      <c r="J84" s="199"/>
      <c r="K84" s="199"/>
      <c r="L84" s="199"/>
      <c r="M84" s="199"/>
      <c r="N84" s="199"/>
      <c r="O84" s="199"/>
      <c r="P84" s="199"/>
      <c r="Q84" s="199"/>
      <c r="R84" s="200"/>
      <c r="V84" s="89"/>
      <c r="W84" s="91"/>
    </row>
    <row r="85" spans="3:25" s="1" customFormat="1" ht="20.149999999999999" hidden="1" customHeight="1">
      <c r="E85" s="1729" t="str">
        <f>Text!C346</f>
        <v>''Pre-Check SNBS 2023.1 Hochbau'' und der Fragenkatalog (Blatt ''Check'')</v>
      </c>
      <c r="F85" s="1729"/>
      <c r="G85" s="1729"/>
      <c r="H85" s="1729"/>
      <c r="I85" s="1729"/>
      <c r="J85" s="1729"/>
      <c r="K85" s="1729"/>
      <c r="L85" s="1729"/>
      <c r="M85" s="1729"/>
      <c r="N85" s="1729"/>
      <c r="O85" s="1729"/>
      <c r="P85" s="1729"/>
      <c r="Q85" s="1729"/>
      <c r="R85" s="1729"/>
      <c r="S85" s="1729"/>
      <c r="T85" s="1729"/>
      <c r="U85" s="1729"/>
      <c r="V85" s="1729"/>
      <c r="W85" s="180"/>
      <c r="X85" s="180"/>
    </row>
    <row r="86" spans="3:25" s="1" customFormat="1" ht="20.149999999999999" hidden="1" customHeight="1">
      <c r="K86" s="78"/>
      <c r="L86" s="78"/>
      <c r="M86" s="78"/>
      <c r="N86" s="78"/>
      <c r="O86" s="78"/>
      <c r="P86" s="78"/>
      <c r="Q86" s="78"/>
      <c r="R86" s="78"/>
      <c r="S86" s="150"/>
      <c r="W86" s="50"/>
    </row>
    <row r="87" spans="3:25" s="124" customFormat="1" ht="30" hidden="1" customHeight="1">
      <c r="C87" s="123"/>
      <c r="D87" s="1728" t="str">
        <f>Text!C347</f>
        <v xml:space="preserve">Während der Beantwortung der Fragen wird eine vollständige Übersicht der Kriterien im oberen Bereich des Ansichtsfensters dargestellt und laufend aktualisiert. Sie kann mit den Navigationshilfen oben ein- und ausgeblendet werden.
</v>
      </c>
      <c r="E87" s="1728"/>
      <c r="F87" s="1728"/>
      <c r="G87" s="1728"/>
      <c r="H87" s="1728"/>
      <c r="I87" s="1728"/>
      <c r="J87" s="1728"/>
      <c r="K87" s="1728"/>
      <c r="L87" s="1728"/>
      <c r="M87" s="1728"/>
      <c r="N87" s="1728"/>
      <c r="O87" s="1728"/>
      <c r="P87" s="1728"/>
      <c r="Q87" s="1728"/>
      <c r="R87" s="1728"/>
      <c r="S87" s="1728"/>
      <c r="T87" s="1728"/>
      <c r="U87" s="1728"/>
      <c r="V87" s="1728"/>
      <c r="W87" s="1728"/>
      <c r="X87" s="1728"/>
      <c r="Y87" s="1728"/>
    </row>
    <row r="88" spans="3:25" s="13" customFormat="1" ht="15" hidden="1" customHeight="1" thickBot="1">
      <c r="C88" s="1"/>
      <c r="D88" s="160" t="str">
        <f>Text!AK22</f>
        <v>Bereich</v>
      </c>
      <c r="E88" s="160"/>
      <c r="F88" s="160" t="str">
        <f>Text!AL22</f>
        <v>Thema</v>
      </c>
      <c r="G88" s="160"/>
      <c r="H88" s="160"/>
      <c r="I88" s="53"/>
      <c r="J88" s="162" t="str">
        <f>Text!AN22</f>
        <v>Kriterium</v>
      </c>
      <c r="K88" s="163"/>
      <c r="L88" s="54"/>
      <c r="M88" s="160"/>
      <c r="N88" s="1775" t="str">
        <f>IF(S92="",Text!C348,IF(S92=Text!AU4,Text!C349,IF(OR(S92=Text!AU5,S92=Text!AU6,S92=Text!AU7),Text!C352)))</f>
        <v>Bitte Antwort auswählen</v>
      </c>
      <c r="O88" s="1775"/>
      <c r="P88" s="1775"/>
      <c r="Q88" s="1775"/>
      <c r="R88" s="1775"/>
      <c r="S88" s="1775"/>
      <c r="T88" s="1775"/>
      <c r="U88" s="1775"/>
      <c r="V88" s="1775"/>
      <c r="W88" s="1775"/>
      <c r="X88" s="1775"/>
    </row>
    <row r="89" spans="3:25" s="1" customFormat="1" ht="15" hidden="1" customHeight="1" thickTop="1" thickBot="1">
      <c r="D89" s="278" t="str">
        <f>Text!AK23</f>
        <v>Gesellschaft</v>
      </c>
      <c r="E89" s="57"/>
      <c r="F89" s="1410">
        <f>Text!AM23</f>
        <v>11</v>
      </c>
      <c r="G89" s="279" t="str">
        <f>Text!AL23</f>
        <v>Qualität der Entwicklung</v>
      </c>
      <c r="H89" s="18"/>
      <c r="I89" s="1412">
        <f>Text!AQ23</f>
        <v>111</v>
      </c>
      <c r="J89" s="1758" t="str">
        <f>Text!AN23</f>
        <v>Ziele &amp; Pflichtenhefte Klima</v>
      </c>
      <c r="K89" s="1759"/>
      <c r="L89" s="1760"/>
      <c r="M89" s="1413" t="str">
        <f>IF(S92="","","         ←")</f>
        <v/>
      </c>
      <c r="N89" s="1775"/>
      <c r="O89" s="1775"/>
      <c r="P89" s="1775"/>
      <c r="Q89" s="1775"/>
      <c r="R89" s="1775"/>
      <c r="S89" s="1775"/>
      <c r="T89" s="1775"/>
      <c r="U89" s="1775"/>
      <c r="V89" s="1775"/>
      <c r="W89" s="1775"/>
      <c r="X89" s="1775"/>
    </row>
    <row r="90" spans="3:25" s="1" customFormat="1" ht="15" hidden="1" customHeight="1">
      <c r="F90" s="112"/>
      <c r="G90" s="112"/>
      <c r="H90" s="57"/>
      <c r="I90" s="17"/>
      <c r="J90" s="112"/>
      <c r="K90" s="112"/>
      <c r="L90" s="57"/>
      <c r="M90" s="17"/>
      <c r="N90" s="17"/>
      <c r="O90" s="112"/>
      <c r="P90" s="112"/>
      <c r="Q90" s="57"/>
      <c r="R90" s="17"/>
      <c r="S90" s="152"/>
      <c r="T90" s="59"/>
      <c r="U90" s="59"/>
      <c r="V90" s="453"/>
      <c r="W90" s="64"/>
      <c r="Y90" s="154"/>
    </row>
    <row r="91" spans="3:25" s="1164" customFormat="1" ht="45" hidden="1" customHeight="1">
      <c r="D91" s="1761" t="str">
        <f>Text!C61</f>
        <v xml:space="preserve">Wird das Projekt im Rahmen eines Wettbewerbs oder einem Studienauftrag mit Planerwahlverfahren erarbeitet? (im Idealfall gemäss Ordnung SIA 142 oder 143) (Wettbewerb nach SIA 142:2009 ''Ordnung für Architektur- und Ingenieurwettbewerbe'', Studienauftrag nach SIA 143:2009 ''Ordnung für Architektur- und Ingenieurstudienaufträge'')     </v>
      </c>
      <c r="E91" s="1761"/>
      <c r="F91" s="1761"/>
      <c r="G91" s="1761"/>
      <c r="H91" s="1761"/>
      <c r="I91" s="1761"/>
      <c r="J91" s="1761"/>
      <c r="K91" s="1761"/>
      <c r="L91" s="1761"/>
      <c r="M91" s="1761"/>
      <c r="N91" s="1761"/>
      <c r="O91" s="1761"/>
      <c r="P91" s="1761"/>
      <c r="Q91" s="1761"/>
      <c r="R91" s="1"/>
      <c r="S91" s="1"/>
      <c r="T91" s="1"/>
      <c r="U91" s="1"/>
      <c r="V91" s="1174">
        <f>Text!B61</f>
        <v>112</v>
      </c>
      <c r="Y91" s="1188" t="str">
        <f>Text!C11</f>
        <v>Info [2]</v>
      </c>
    </row>
    <row r="92" spans="3:25" s="1164" customFormat="1" ht="15" hidden="1" customHeight="1">
      <c r="D92" s="1790" t="str">
        <f>Text!C610</f>
        <v>SIA 142:2009 «Ordnung für Architektur- und Ingenieurwettbewerbe», SIA 143:2009 «Ordnung für Architektur- und Ingenieurstudienaufträge»</v>
      </c>
      <c r="E92" s="1790"/>
      <c r="F92" s="1790"/>
      <c r="G92" s="1790"/>
      <c r="H92" s="1790"/>
      <c r="I92" s="1790"/>
      <c r="J92" s="1790"/>
      <c r="K92" s="1790"/>
      <c r="L92" s="1790"/>
      <c r="M92" s="1790"/>
      <c r="N92" s="1790"/>
      <c r="O92" s="1790"/>
      <c r="P92" s="1790"/>
      <c r="Q92" s="1790"/>
      <c r="R92" s="1"/>
      <c r="S92" s="9"/>
      <c r="T92" s="1"/>
      <c r="U92" s="1"/>
    </row>
    <row r="93" spans="3:25" s="1" customFormat="1" ht="15" hidden="1" customHeight="1">
      <c r="E93" s="171"/>
      <c r="F93" s="171"/>
      <c r="G93" s="171"/>
      <c r="H93" s="171"/>
      <c r="I93" s="171"/>
      <c r="J93" s="171"/>
      <c r="K93" s="171"/>
      <c r="L93" s="171"/>
      <c r="M93" s="171"/>
      <c r="N93" s="171"/>
      <c r="O93" s="171"/>
      <c r="P93" s="171"/>
      <c r="Q93" s="171"/>
      <c r="R93" s="171"/>
      <c r="S93" s="172"/>
      <c r="T93" s="171"/>
      <c r="U93" s="171"/>
      <c r="V93" s="171"/>
      <c r="W93" s="171"/>
    </row>
    <row r="94" spans="3:25" s="1" customFormat="1" ht="15" hidden="1" customHeight="1">
      <c r="D94" s="1" t="str">
        <f>Text!C351</f>
        <v>Die Kriterien werden entsprechend der Bewertung wie folgt angezeigt:</v>
      </c>
      <c r="M94" s="1417" t="str">
        <f>Text!BE72</f>
        <v>Stolperstein</v>
      </c>
      <c r="N94" s="170"/>
      <c r="O94" s="170"/>
      <c r="P94" s="1416" t="str">
        <f>Text!BD72</f>
        <v>Ungenügend</v>
      </c>
      <c r="Q94" s="170"/>
      <c r="R94" s="170"/>
      <c r="S94" s="1415" t="str">
        <f>Text!BC72</f>
        <v>Genügend</v>
      </c>
      <c r="T94" s="170"/>
      <c r="U94" s="170"/>
      <c r="V94" s="1414" t="str">
        <f>Text!BB72</f>
        <v>Gut</v>
      </c>
      <c r="W94" s="50"/>
    </row>
    <row r="95" spans="3:25" s="202" customFormat="1" ht="30" hidden="1" customHeight="1">
      <c r="C95" s="48"/>
      <c r="E95" s="1773"/>
      <c r="F95" s="1773"/>
      <c r="G95" s="1773"/>
      <c r="H95" s="1773"/>
      <c r="I95" s="1773"/>
      <c r="J95" s="1773"/>
      <c r="K95" s="1773"/>
      <c r="L95" s="1773"/>
      <c r="M95" s="1773"/>
      <c r="N95" s="1773"/>
      <c r="O95" s="1773"/>
      <c r="P95" s="1773"/>
      <c r="Q95" s="1773"/>
      <c r="R95" s="1773"/>
      <c r="S95" s="1773"/>
      <c r="T95" s="1773"/>
      <c r="U95" s="1773"/>
      <c r="V95" s="1773"/>
      <c r="W95" s="1773"/>
    </row>
    <row r="96" spans="3:25" s="48" customFormat="1" ht="20.149999999999999" hidden="1" customHeight="1">
      <c r="D96" s="88" t="str">
        <f>Text!C330</f>
        <v>Zurück</v>
      </c>
      <c r="H96" s="199"/>
      <c r="I96" s="199"/>
      <c r="J96" s="199"/>
      <c r="K96" s="199"/>
      <c r="L96" s="199"/>
      <c r="M96" s="199"/>
      <c r="N96" s="199"/>
      <c r="O96" s="199"/>
      <c r="P96" s="199"/>
      <c r="Q96" s="199"/>
      <c r="R96" s="200"/>
      <c r="V96" s="89"/>
      <c r="W96" s="91"/>
      <c r="Y96" s="89" t="str">
        <f>Text!C331</f>
        <v>Weiter</v>
      </c>
    </row>
    <row r="97" spans="3:26" s="48" customFormat="1" ht="20.149999999999999" hidden="1" customHeight="1">
      <c r="D97" s="88"/>
      <c r="H97" s="199"/>
      <c r="I97" s="199"/>
      <c r="J97" s="199"/>
      <c r="K97" s="199"/>
      <c r="L97" s="199"/>
      <c r="M97" s="199"/>
      <c r="N97" s="199"/>
      <c r="O97" s="199"/>
      <c r="P97" s="199"/>
      <c r="Q97" s="199"/>
      <c r="R97" s="200"/>
      <c r="V97" s="89"/>
      <c r="W97" s="91"/>
    </row>
    <row r="98" spans="3:26" s="1" customFormat="1" ht="20.149999999999999" hidden="1" customHeight="1">
      <c r="F98" s="1729" t="str">
        <f>Text!C353</f>
        <v>Reduktionsmethode</v>
      </c>
      <c r="G98" s="1729"/>
      <c r="H98" s="1729"/>
      <c r="I98" s="1729"/>
      <c r="J98" s="1729"/>
      <c r="K98" s="1729"/>
      <c r="L98" s="1729"/>
      <c r="M98" s="1729"/>
      <c r="N98" s="1729"/>
      <c r="O98" s="1729"/>
      <c r="P98" s="1729"/>
      <c r="Q98" s="1729"/>
      <c r="R98" s="1729"/>
      <c r="S98" s="1729"/>
      <c r="T98" s="1729"/>
      <c r="U98" s="1729"/>
      <c r="V98" s="1729"/>
      <c r="W98" s="50"/>
    </row>
    <row r="99" spans="3:26" s="1" customFormat="1" ht="20.149999999999999" hidden="1" customHeight="1">
      <c r="F99" s="182"/>
      <c r="G99" s="182"/>
      <c r="H99" s="182"/>
      <c r="I99" s="182"/>
      <c r="J99" s="182"/>
      <c r="K99" s="182"/>
      <c r="L99" s="182"/>
      <c r="M99" s="182"/>
      <c r="N99" s="182"/>
      <c r="O99" s="182"/>
      <c r="P99" s="182"/>
      <c r="Q99" s="182"/>
      <c r="R99" s="182"/>
      <c r="S99" s="182"/>
      <c r="T99" s="182"/>
      <c r="U99" s="182"/>
      <c r="V99" s="181"/>
      <c r="W99" s="50"/>
    </row>
    <row r="100" spans="3:26" s="1" customFormat="1" ht="15" hidden="1" customHeight="1">
      <c r="D100" s="1772" t="str">
        <f>Text!C354</f>
        <v>Negative oder nicht eindeutige Antworten führen zu Zusatzfragen, wie im folgenden Beispiel:</v>
      </c>
      <c r="E100" s="1772"/>
      <c r="F100" s="1772"/>
      <c r="G100" s="1772"/>
      <c r="H100" s="1772"/>
      <c r="I100" s="1772"/>
      <c r="J100" s="1772"/>
      <c r="K100" s="1772"/>
      <c r="L100" s="1772"/>
      <c r="M100" s="1772"/>
      <c r="N100" s="1772"/>
      <c r="O100" s="1772"/>
      <c r="P100" s="1772"/>
      <c r="Q100" s="182"/>
      <c r="R100" s="182"/>
      <c r="S100" s="154" t="str">
        <f>IF(S103="",Text!C355,"")</f>
        <v>Bitte Antwort auswählen</v>
      </c>
      <c r="T100" s="182"/>
      <c r="U100" s="182"/>
      <c r="V100" s="181"/>
      <c r="W100" s="50"/>
    </row>
    <row r="101" spans="3:26" s="1" customFormat="1" ht="15" hidden="1" customHeight="1">
      <c r="Q101" s="46"/>
      <c r="R101" s="46"/>
      <c r="S101" s="280" t="str">
        <f>IF(OR(S103="Ja",S103="Oui",S103="Non",S103="Nein"),"","↓")</f>
        <v>↓</v>
      </c>
      <c r="T101" s="46"/>
      <c r="U101" s="46"/>
      <c r="V101" s="46"/>
      <c r="W101" s="46"/>
      <c r="X101" s="46"/>
    </row>
    <row r="102" spans="3:26" s="1164" customFormat="1" ht="15" hidden="1" customHeight="1">
      <c r="D102" s="1761" t="str">
        <f>Text!C53</f>
        <v>Wurde in der Projektinitialisierung (SIA-Phase 0) das Vorhaben mit der Bauherrschaft auf übergeordnete Leitbilder (Bund, Kanton, Gemeinde, Quartier) überprüft und werden übergeordnete sowie individuelle Ziele festgelegt und in Pflichtenheften verankert?</v>
      </c>
      <c r="E102" s="1761"/>
      <c r="F102" s="1761"/>
      <c r="G102" s="1761"/>
      <c r="H102" s="1761"/>
      <c r="I102" s="1761"/>
      <c r="J102" s="1761"/>
      <c r="K102" s="1761"/>
      <c r="L102" s="1761"/>
      <c r="M102" s="1761"/>
      <c r="N102" s="1761"/>
      <c r="O102" s="1761"/>
      <c r="P102" s="1761"/>
      <c r="Q102" s="1"/>
      <c r="R102" s="1"/>
      <c r="S102" s="1"/>
      <c r="T102" s="1"/>
      <c r="U102" s="1"/>
      <c r="V102" s="1174">
        <f>Text!AQ23</f>
        <v>111</v>
      </c>
    </row>
    <row r="103" spans="3:26" s="1164" customFormat="1" ht="15" hidden="1" customHeight="1">
      <c r="D103" s="1761"/>
      <c r="E103" s="1761"/>
      <c r="F103" s="1761"/>
      <c r="G103" s="1761"/>
      <c r="H103" s="1761"/>
      <c r="I103" s="1761"/>
      <c r="J103" s="1761"/>
      <c r="K103" s="1761"/>
      <c r="L103" s="1761"/>
      <c r="M103" s="1761"/>
      <c r="N103" s="1761"/>
      <c r="O103" s="1761"/>
      <c r="P103" s="1761"/>
      <c r="Q103" s="1"/>
      <c r="R103" s="1"/>
      <c r="S103" s="9"/>
      <c r="T103" s="1"/>
      <c r="U103" s="1"/>
    </row>
    <row r="104" spans="3:26" s="1" customFormat="1" ht="15" hidden="1" customHeight="1">
      <c r="D104" s="124"/>
      <c r="E104" s="124"/>
      <c r="F104" s="124"/>
      <c r="G104" s="124"/>
      <c r="H104" s="124"/>
      <c r="I104" s="124"/>
      <c r="J104" s="123"/>
      <c r="K104" s="123"/>
      <c r="L104" s="123"/>
      <c r="M104" s="123"/>
      <c r="N104" s="123"/>
      <c r="O104" s="123"/>
      <c r="P104" s="123"/>
      <c r="S104" s="48"/>
      <c r="V104" s="21"/>
      <c r="Z104" s="61"/>
    </row>
    <row r="105" spans="3:26" s="1164" customFormat="1" ht="29.15" hidden="1" customHeight="1">
      <c r="D105" s="1761" t="str">
        <f>Text!C54</f>
        <v>Wird der Bezug zu übergeordneten Zielsetzungen, Leitbildern oder Planungen gemacht, z. B. des Quartiers, der Gemeinde, des Kantons oder des Bundes gemacht?</v>
      </c>
      <c r="E105" s="1761"/>
      <c r="F105" s="1761"/>
      <c r="G105" s="1761"/>
      <c r="H105" s="1761"/>
      <c r="I105" s="1761"/>
      <c r="J105" s="1761"/>
      <c r="K105" s="1761"/>
      <c r="L105" s="1761"/>
      <c r="M105" s="1761"/>
      <c r="N105" s="1761"/>
      <c r="O105" s="1761"/>
      <c r="P105" s="1761"/>
      <c r="Q105" s="1"/>
      <c r="R105" s="1"/>
      <c r="S105" s="1"/>
      <c r="T105" s="1"/>
      <c r="U105" s="1"/>
      <c r="V105" s="1174"/>
      <c r="Z105" s="1522"/>
    </row>
    <row r="106" spans="3:26" s="1164" customFormat="1" ht="15" hidden="1" customHeight="1">
      <c r="D106" s="1794" t="str">
        <f>Text!C609</f>
        <v>z. B. Entwicklungskonzepte Stadt/Gemeinde, Gestaltungspläne, regionale oder kantonale Raumordnungskonzepte oder Richtpläne</v>
      </c>
      <c r="E106" s="1794"/>
      <c r="F106" s="1794"/>
      <c r="G106" s="1794"/>
      <c r="H106" s="1794"/>
      <c r="I106" s="1794"/>
      <c r="J106" s="1794"/>
      <c r="K106" s="1794"/>
      <c r="L106" s="1794"/>
      <c r="M106" s="1794"/>
      <c r="N106" s="1794"/>
      <c r="O106" s="1794"/>
      <c r="P106" s="1794"/>
      <c r="Q106" s="1"/>
      <c r="R106" s="1"/>
      <c r="S106" s="9"/>
      <c r="T106" s="1"/>
      <c r="U106" s="1"/>
      <c r="Z106" s="1523"/>
    </row>
    <row r="107" spans="3:26" s="1" customFormat="1" ht="15" hidden="1" customHeight="1">
      <c r="S107" s="1418"/>
      <c r="Z107" s="69"/>
    </row>
    <row r="108" spans="3:26" s="1164" customFormat="1" ht="15" hidden="1" customHeight="1">
      <c r="D108" s="1761" t="str">
        <f>Text!C55</f>
        <v>Werden mit der Bauherrschaft im Auswahlverfahren (SIA-Phase 2) individuelle (Nachhaltigkeits-)Ziele detailliert festgelegt?</v>
      </c>
      <c r="E108" s="1761"/>
      <c r="F108" s="1761"/>
      <c r="G108" s="1761"/>
      <c r="H108" s="1761"/>
      <c r="I108" s="1761"/>
      <c r="J108" s="1761"/>
      <c r="K108" s="1761"/>
      <c r="L108" s="1761"/>
      <c r="M108" s="1761"/>
      <c r="N108" s="1761"/>
      <c r="O108" s="1761"/>
      <c r="P108" s="1761"/>
      <c r="Q108" s="1"/>
      <c r="R108" s="1"/>
      <c r="S108" s="1"/>
      <c r="T108" s="1"/>
      <c r="U108" s="1"/>
      <c r="V108" s="1174"/>
      <c r="Z108" s="1524"/>
    </row>
    <row r="109" spans="3:26" s="1164" customFormat="1" ht="15" hidden="1" customHeight="1">
      <c r="D109" s="1761"/>
      <c r="E109" s="1761"/>
      <c r="F109" s="1761"/>
      <c r="G109" s="1761"/>
      <c r="H109" s="1761"/>
      <c r="I109" s="1761"/>
      <c r="J109" s="1761"/>
      <c r="K109" s="1761"/>
      <c r="L109" s="1761"/>
      <c r="M109" s="1761"/>
      <c r="N109" s="1761"/>
      <c r="O109" s="1761"/>
      <c r="P109" s="1761"/>
      <c r="Q109" s="1"/>
      <c r="R109" s="1"/>
      <c r="S109" s="9"/>
      <c r="T109" s="1"/>
      <c r="U109" s="1"/>
      <c r="Z109" s="1524"/>
    </row>
    <row r="110" spans="3:26" s="80" customFormat="1" ht="15" hidden="1" customHeight="1">
      <c r="C110" s="1"/>
      <c r="Z110" s="81"/>
    </row>
    <row r="111" spans="3:26" s="1164" customFormat="1" ht="15" hidden="1" customHeight="1">
      <c r="D111" s="1761" t="str">
        <f>Text!C56</f>
        <v>Werden die definierten Ziele zu Beginn der SIA-Phase 3 als entsprechende Vereinbarungen in Pflichtenhefte verankert?</v>
      </c>
      <c r="E111" s="1761"/>
      <c r="F111" s="1761"/>
      <c r="G111" s="1761"/>
      <c r="H111" s="1761"/>
      <c r="I111" s="1761"/>
      <c r="J111" s="1761"/>
      <c r="K111" s="1761"/>
      <c r="L111" s="1761"/>
      <c r="M111" s="1761"/>
      <c r="N111" s="1761"/>
      <c r="O111" s="1761"/>
      <c r="P111" s="1761"/>
      <c r="Q111" s="1"/>
      <c r="R111" s="1"/>
      <c r="S111" s="1"/>
      <c r="T111" s="1"/>
      <c r="U111" s="1"/>
      <c r="V111" s="1174"/>
    </row>
    <row r="112" spans="3:26" s="1164" customFormat="1" ht="15" hidden="1" customHeight="1">
      <c r="D112" s="1761"/>
      <c r="E112" s="1761"/>
      <c r="F112" s="1761"/>
      <c r="G112" s="1761"/>
      <c r="H112" s="1761"/>
      <c r="I112" s="1761"/>
      <c r="J112" s="1761"/>
      <c r="K112" s="1761"/>
      <c r="L112" s="1761"/>
      <c r="M112" s="1761"/>
      <c r="N112" s="1761"/>
      <c r="O112" s="1761"/>
      <c r="P112" s="1761"/>
      <c r="Q112" s="1"/>
      <c r="R112" s="1"/>
      <c r="S112" s="9"/>
      <c r="T112" s="1"/>
      <c r="U112" s="1"/>
    </row>
    <row r="113" spans="3:25" s="1" customFormat="1" ht="15" hidden="1" customHeight="1">
      <c r="D113" s="125"/>
      <c r="E113" s="125"/>
      <c r="S113" s="183" t="str">
        <f>IF(S103="","","↑")</f>
        <v/>
      </c>
    </row>
    <row r="114" spans="3:25" s="48" customFormat="1" ht="35.15" hidden="1" customHeight="1">
      <c r="D114" s="203"/>
      <c r="E114" s="203"/>
      <c r="F114" s="204"/>
      <c r="G114" s="203"/>
      <c r="H114" s="203"/>
      <c r="I114" s="203"/>
      <c r="J114" s="203"/>
      <c r="K114" s="203"/>
      <c r="L114" s="203"/>
      <c r="M114" s="203"/>
      <c r="N114" s="1731" t="str">
        <f>IF(S103="","",Text!C356)</f>
        <v/>
      </c>
      <c r="O114" s="1731"/>
      <c r="P114" s="1731"/>
      <c r="Q114" s="1731"/>
      <c r="R114" s="1731"/>
      <c r="S114" s="1731"/>
      <c r="T114" s="1731"/>
      <c r="U114" s="1731"/>
      <c r="V114" s="1731"/>
      <c r="W114" s="1731"/>
      <c r="X114" s="1731"/>
    </row>
    <row r="115" spans="3:25" s="48" customFormat="1" ht="20.149999999999999" hidden="1" customHeight="1">
      <c r="D115" s="88" t="str">
        <f>Text!C330</f>
        <v>Zurück</v>
      </c>
      <c r="E115" s="203"/>
      <c r="H115" s="199"/>
      <c r="I115" s="199"/>
      <c r="J115" s="199"/>
      <c r="K115" s="199"/>
      <c r="L115" s="199"/>
      <c r="M115" s="199"/>
      <c r="N115" s="199"/>
      <c r="O115" s="199"/>
      <c r="P115" s="199"/>
      <c r="Q115" s="199"/>
      <c r="R115" s="200"/>
      <c r="V115" s="89"/>
      <c r="Y115" s="89" t="str">
        <f>Text!C331</f>
        <v>Weiter</v>
      </c>
    </row>
    <row r="116" spans="3:25" s="48" customFormat="1" ht="20.149999999999999" hidden="1" customHeight="1">
      <c r="D116" s="88"/>
      <c r="E116" s="203"/>
      <c r="H116" s="199"/>
      <c r="I116" s="199"/>
      <c r="J116" s="199"/>
      <c r="K116" s="199"/>
      <c r="L116" s="199"/>
      <c r="M116" s="199"/>
      <c r="N116" s="199"/>
      <c r="O116" s="199"/>
      <c r="P116" s="199"/>
      <c r="Q116" s="199"/>
      <c r="R116" s="200"/>
      <c r="V116" s="89"/>
    </row>
    <row r="117" spans="3:25" s="1" customFormat="1" ht="20.149999999999999" hidden="1" customHeight="1">
      <c r="D117" s="76"/>
      <c r="E117" s="125"/>
      <c r="F117" s="1729" t="str">
        <f>Text!C357</f>
        <v>Bewertungsmechanismus</v>
      </c>
      <c r="G117" s="1729"/>
      <c r="H117" s="1729"/>
      <c r="I117" s="1729"/>
      <c r="J117" s="1729"/>
      <c r="K117" s="1729"/>
      <c r="L117" s="1729"/>
      <c r="M117" s="1729"/>
      <c r="N117" s="1729"/>
      <c r="O117" s="1729"/>
      <c r="P117" s="1729"/>
      <c r="Q117" s="1729"/>
      <c r="R117" s="1729"/>
      <c r="S117" s="1729"/>
      <c r="T117" s="1729"/>
      <c r="U117" s="1729"/>
      <c r="V117" s="1729"/>
    </row>
    <row r="118" spans="3:25" s="1" customFormat="1" ht="20.149999999999999" hidden="1" customHeight="1">
      <c r="D118" s="125"/>
      <c r="E118" s="125"/>
      <c r="F118" s="125"/>
      <c r="G118" s="125"/>
      <c r="H118" s="125"/>
      <c r="I118" s="125"/>
      <c r="J118" s="125"/>
      <c r="K118" s="125"/>
      <c r="L118" s="125"/>
      <c r="M118" s="125"/>
      <c r="N118" s="125"/>
      <c r="O118" s="125"/>
      <c r="P118" s="125"/>
      <c r="V118" s="23"/>
    </row>
    <row r="119" spans="3:25" s="1" customFormat="1" ht="15" hidden="1" customHeight="1">
      <c r="D119" s="4" t="str">
        <f>Text!C358</f>
        <v>Beträgt die Bewertung mehr als 85 %, gelten die Anforderungen im jeweiligen Kriterium als "gut" erfüllt.</v>
      </c>
      <c r="E119" s="125"/>
      <c r="F119" s="125"/>
      <c r="G119" s="125"/>
      <c r="H119" s="125"/>
      <c r="I119" s="125"/>
      <c r="J119" s="125"/>
      <c r="K119" s="125"/>
      <c r="L119" s="125"/>
      <c r="M119" s="125"/>
      <c r="N119" s="125"/>
      <c r="O119" s="125"/>
      <c r="P119" s="125"/>
      <c r="V119" s="23"/>
    </row>
    <row r="120" spans="3:25" s="1" customFormat="1" ht="15" hidden="1" customHeight="1">
      <c r="D120" s="4" t="str">
        <f>Text!C359</f>
        <v>Beträgt die Bewertung zwischen 65 % und 85 %, gelten die Anforderungen im jeweiligen Kriterium als "genügend" erfüllt.</v>
      </c>
      <c r="E120" s="125"/>
      <c r="F120" s="125"/>
      <c r="G120" s="125"/>
      <c r="H120" s="125"/>
      <c r="I120" s="125"/>
      <c r="J120" s="125"/>
      <c r="K120" s="125"/>
      <c r="L120" s="125"/>
      <c r="M120" s="125"/>
      <c r="N120" s="125"/>
      <c r="O120" s="125"/>
      <c r="P120" s="125"/>
      <c r="V120" s="23"/>
    </row>
    <row r="121" spans="3:25" s="1" customFormat="1" ht="15" hidden="1" customHeight="1">
      <c r="D121" s="4" t="str">
        <f>Text!C360</f>
        <v>Beträgt die Bewertung zwischen 50 % und 65 %, gelten die Anforderungen im jeweiligen Kriterium als "ungenügend" erfüllt.</v>
      </c>
      <c r="E121" s="125"/>
      <c r="F121" s="125"/>
      <c r="G121" s="125"/>
      <c r="H121" s="125"/>
      <c r="I121" s="125"/>
      <c r="J121" s="125"/>
      <c r="K121" s="125"/>
      <c r="L121" s="125"/>
      <c r="M121" s="125"/>
      <c r="N121" s="125"/>
      <c r="O121" s="125"/>
      <c r="P121" s="125"/>
      <c r="V121" s="23"/>
    </row>
    <row r="122" spans="3:25" s="1" customFormat="1" ht="15" hidden="1" customHeight="1">
      <c r="D122" s="4" t="str">
        <f>Text!C361</f>
        <v>Beträgt die Bewertung weniger als 50 %, wird der jeweilige Kriterium als "Stolperstein" bezeichnet.</v>
      </c>
      <c r="E122" s="125"/>
      <c r="F122" s="125"/>
      <c r="G122" s="125"/>
      <c r="H122" s="125"/>
      <c r="I122" s="125"/>
      <c r="J122" s="125"/>
      <c r="K122" s="125"/>
      <c r="L122" s="125"/>
      <c r="M122" s="125"/>
      <c r="N122" s="125"/>
      <c r="O122" s="125"/>
      <c r="P122" s="125"/>
      <c r="V122" s="23"/>
    </row>
    <row r="123" spans="3:25" s="48" customFormat="1" ht="20.149999999999999" hidden="1" customHeight="1">
      <c r="D123" s="203"/>
      <c r="E123" s="203"/>
      <c r="F123" s="203"/>
      <c r="G123" s="203"/>
      <c r="H123" s="203"/>
      <c r="I123" s="203"/>
      <c r="J123" s="203"/>
      <c r="K123" s="203"/>
      <c r="L123" s="203"/>
      <c r="M123" s="203"/>
      <c r="N123" s="203"/>
      <c r="O123" s="203"/>
      <c r="P123" s="203"/>
      <c r="V123" s="111"/>
    </row>
    <row r="124" spans="3:25" s="205" customFormat="1" ht="20.149999999999999" hidden="1" customHeight="1">
      <c r="D124" s="88" t="str">
        <f>Text!C330</f>
        <v>Zurück</v>
      </c>
      <c r="H124" s="206"/>
      <c r="I124" s="206"/>
      <c r="J124" s="206"/>
      <c r="K124" s="206"/>
      <c r="L124" s="206"/>
      <c r="M124" s="206"/>
      <c r="N124" s="206"/>
      <c r="O124" s="206"/>
      <c r="P124" s="206"/>
      <c r="Q124" s="206"/>
      <c r="R124" s="206"/>
      <c r="V124" s="89"/>
      <c r="Y124" s="89" t="str">
        <f>Text!C331</f>
        <v>Weiter</v>
      </c>
    </row>
    <row r="125" spans="3:25" s="90" customFormat="1" ht="20.149999999999999" hidden="1" customHeight="1">
      <c r="C125" s="48"/>
      <c r="D125" s="48"/>
      <c r="E125" s="48"/>
      <c r="F125" s="48"/>
      <c r="G125" s="48"/>
      <c r="H125" s="48"/>
      <c r="I125" s="48"/>
      <c r="J125" s="48"/>
      <c r="K125" s="48"/>
      <c r="L125" s="48"/>
      <c r="M125" s="48"/>
      <c r="N125" s="48"/>
      <c r="O125" s="48"/>
      <c r="P125" s="48"/>
      <c r="Q125" s="48"/>
      <c r="R125" s="48"/>
      <c r="S125" s="48"/>
      <c r="T125" s="48"/>
      <c r="U125" s="48"/>
      <c r="V125" s="48"/>
      <c r="W125" s="48"/>
      <c r="X125" s="48"/>
      <c r="Y125" s="48"/>
    </row>
    <row r="126" spans="3:25" s="1" customFormat="1" ht="20.149999999999999" hidden="1" customHeight="1">
      <c r="F126" s="1729" t="str">
        <f>Text!C362</f>
        <v>Bewertungsübersicht</v>
      </c>
      <c r="G126" s="1729"/>
      <c r="H126" s="1729"/>
      <c r="I126" s="1729"/>
      <c r="J126" s="1729"/>
      <c r="K126" s="1729"/>
      <c r="L126" s="1729"/>
      <c r="M126" s="1729"/>
      <c r="N126" s="1729"/>
      <c r="O126" s="1729"/>
      <c r="P126" s="1729"/>
      <c r="Q126" s="1729"/>
      <c r="R126" s="1729"/>
      <c r="S126" s="1729"/>
      <c r="T126" s="1729"/>
      <c r="U126" s="1729"/>
      <c r="V126" s="1729"/>
      <c r="W126" s="50"/>
    </row>
    <row r="127" spans="3:25" s="1" customFormat="1" ht="20.149999999999999" hidden="1" customHeight="1">
      <c r="F127" s="182"/>
      <c r="G127" s="182"/>
      <c r="H127" s="182"/>
      <c r="I127" s="182"/>
      <c r="J127" s="182"/>
      <c r="K127" s="182"/>
      <c r="L127" s="182"/>
      <c r="M127" s="182"/>
      <c r="N127" s="182"/>
      <c r="O127" s="182"/>
      <c r="P127" s="182"/>
      <c r="Q127" s="182"/>
      <c r="R127" s="182"/>
      <c r="S127" s="182"/>
      <c r="T127" s="182"/>
      <c r="U127" s="182"/>
      <c r="V127" s="181"/>
      <c r="W127" s="50"/>
    </row>
    <row r="128" spans="3:25" s="129" customFormat="1" ht="15" hidden="1" customHeight="1">
      <c r="D128" s="11" t="str">
        <f>Text!C363</f>
        <v>Eine positive Antwort ergibt meistens 100 % in der Bewertung für das entsprechenden Kriterium.</v>
      </c>
      <c r="G128" s="184"/>
      <c r="H128" s="184"/>
      <c r="I128" s="184"/>
      <c r="J128" s="184"/>
      <c r="K128" s="184"/>
      <c r="L128" s="184"/>
      <c r="M128" s="184"/>
      <c r="N128" s="184"/>
      <c r="O128" s="184"/>
      <c r="P128" s="184"/>
      <c r="Q128" s="184"/>
      <c r="R128" s="184"/>
      <c r="S128" s="184"/>
      <c r="T128" s="184"/>
      <c r="U128" s="184"/>
      <c r="W128" s="130"/>
    </row>
    <row r="129" spans="1:25 16384:16384" s="129" customFormat="1" ht="15" hidden="1" customHeight="1">
      <c r="D129" s="11" t="str">
        <f>Text!C364</f>
        <v>Bei einer negativen oder nicht eindeutigen Antwort werden keine Punkte vergeben. Solche können jedoch anhand der Zusatzfragen gesammelt werden, im Idealfall auch bis zu einer 100 %igen Bewertung.</v>
      </c>
      <c r="E129" s="11"/>
      <c r="F129" s="11"/>
      <c r="G129" s="11"/>
      <c r="H129" s="11"/>
      <c r="I129" s="11"/>
      <c r="J129" s="11"/>
      <c r="K129" s="11"/>
      <c r="L129" s="11"/>
      <c r="M129" s="11"/>
      <c r="N129" s="11"/>
      <c r="O129" s="11"/>
      <c r="P129" s="11"/>
      <c r="Q129" s="11"/>
      <c r="R129" s="11"/>
      <c r="S129" s="11"/>
      <c r="T129" s="11"/>
      <c r="U129" s="11"/>
      <c r="V129" s="11"/>
      <c r="W129" s="11"/>
      <c r="X129" s="11"/>
      <c r="Y129" s="11"/>
    </row>
    <row r="130" spans="1:25 16384:16384" s="281" customFormat="1" ht="15" hidden="1" customHeight="1">
      <c r="D130" s="4"/>
      <c r="G130" s="283"/>
      <c r="H130" s="283"/>
      <c r="I130" s="283"/>
      <c r="J130" s="283"/>
      <c r="K130" s="283"/>
      <c r="L130" s="283"/>
      <c r="M130" s="283"/>
      <c r="N130" s="283"/>
      <c r="O130" s="283"/>
      <c r="P130" s="283"/>
      <c r="Q130" s="283"/>
      <c r="R130" s="283"/>
      <c r="S130" s="283"/>
      <c r="T130" s="283"/>
      <c r="U130" s="283"/>
      <c r="W130" s="282"/>
    </row>
    <row r="131" spans="1:25 16384:16384" s="1525" customFormat="1" ht="30" hidden="1" customHeight="1">
      <c r="D131" s="1761" t="str">
        <f>Text!C53</f>
        <v>Wurde in der Projektinitialisierung (SIA-Phase 0) das Vorhaben mit der Bauherrschaft auf übergeordnete Leitbilder (Bund, Kanton, Gemeinde, Quartier) überprüft und werden übergeordnete sowie individuelle Ziele festgelegt und in Pflichtenheften verankert?</v>
      </c>
      <c r="E131" s="1761"/>
      <c r="F131" s="1761"/>
      <c r="G131" s="1761"/>
      <c r="H131" s="1761"/>
      <c r="I131" s="1761"/>
      <c r="J131" s="1761"/>
      <c r="K131" s="1761"/>
      <c r="L131" s="1761"/>
      <c r="M131" s="1761"/>
      <c r="N131" s="1761"/>
      <c r="O131" s="1761"/>
      <c r="P131" s="1761"/>
      <c r="Q131" s="1"/>
      <c r="R131" s="1"/>
      <c r="S131" s="9"/>
      <c r="T131" s="1"/>
      <c r="U131" s="1"/>
      <c r="V131" s="1174">
        <f>Text!B53</f>
        <v>111</v>
      </c>
      <c r="W131" s="1176"/>
      <c r="X131" s="1176"/>
    </row>
    <row r="132" spans="1:25 16384:16384" s="1" customFormat="1" ht="15" hidden="1" customHeight="1">
      <c r="S132" s="151" t="s">
        <v>131</v>
      </c>
    </row>
    <row r="133" spans="1:25 16384:16384" ht="15" hidden="1" customHeight="1">
      <c r="A133" s="1"/>
      <c r="B133" s="1"/>
      <c r="C133" s="3"/>
      <c r="D133" s="1"/>
      <c r="E133" s="1"/>
      <c r="F133" s="1"/>
      <c r="G133" s="1"/>
      <c r="H133" s="1"/>
      <c r="I133" s="1"/>
      <c r="J133" s="1"/>
      <c r="K133" s="1"/>
      <c r="L133" s="1"/>
      <c r="M133" s="1"/>
      <c r="N133" s="1"/>
      <c r="O133" s="1"/>
      <c r="P133" s="1"/>
      <c r="Q133" s="1"/>
      <c r="R133" s="1"/>
      <c r="S133" s="186" t="str">
        <f>IF(S131="",Text!C355,Text!C365)</f>
        <v>Bitte Antwort auswählen</v>
      </c>
      <c r="T133" s="1"/>
      <c r="U133" s="1"/>
      <c r="V133" s="1"/>
      <c r="W133" s="1"/>
      <c r="X133" s="1"/>
      <c r="Y133" s="185"/>
    </row>
    <row r="134" spans="1:25 16384:16384" ht="15" hidden="1" customHeight="1">
      <c r="A134" s="1"/>
      <c r="B134" s="1"/>
      <c r="C134" s="3"/>
      <c r="S134" s="151"/>
      <c r="Y134" s="165"/>
    </row>
    <row r="135" spans="1:25 16384:16384" s="1164" customFormat="1" ht="45" hidden="1" customHeight="1">
      <c r="D135" s="1761" t="str">
        <f>Text!C61</f>
        <v xml:space="preserve">Wird das Projekt im Rahmen eines Wettbewerbs oder einem Studienauftrag mit Planerwahlverfahren erarbeitet? (im Idealfall gemäss Ordnung SIA 142 oder 143) (Wettbewerb nach SIA 142:2009 ''Ordnung für Architektur- und Ingenieurwettbewerbe'', Studienauftrag nach SIA 143:2009 ''Ordnung für Architektur- und Ingenieurstudienaufträge'')     </v>
      </c>
      <c r="E135" s="1761"/>
      <c r="F135" s="1761"/>
      <c r="G135" s="1761"/>
      <c r="H135" s="1761"/>
      <c r="I135" s="1761"/>
      <c r="J135" s="1761"/>
      <c r="K135" s="1761"/>
      <c r="L135" s="1761"/>
      <c r="M135" s="1761"/>
      <c r="N135" s="1761"/>
      <c r="O135" s="1761"/>
      <c r="P135" s="1761"/>
      <c r="Q135" s="4"/>
      <c r="R135" s="4"/>
      <c r="S135" s="151"/>
      <c r="T135" s="1"/>
      <c r="U135" s="1"/>
      <c r="V135" s="1793">
        <f>Text!B61</f>
        <v>112</v>
      </c>
      <c r="W135" s="1793"/>
      <c r="X135" s="1793"/>
      <c r="XFD135" s="1186" t="str">
        <f>Text!C11</f>
        <v>Info [2]</v>
      </c>
    </row>
    <row r="136" spans="1:25 16384:16384" s="1164" customFormat="1" ht="15" hidden="1" customHeight="1">
      <c r="D136" s="1791" t="str">
        <f>Text!C610</f>
        <v>SIA 142:2009 «Ordnung für Architektur- und Ingenieurwettbewerbe», SIA 143:2009 «Ordnung für Architektur- und Ingenieurstudienaufträge»</v>
      </c>
      <c r="E136" s="1791"/>
      <c r="F136" s="1791"/>
      <c r="G136" s="1791"/>
      <c r="H136" s="1791"/>
      <c r="I136" s="1791"/>
      <c r="J136" s="1791"/>
      <c r="K136" s="1791"/>
      <c r="L136" s="1791"/>
      <c r="M136" s="1791"/>
      <c r="N136" s="1791"/>
      <c r="O136" s="1791"/>
      <c r="P136" s="1791"/>
      <c r="Q136" s="4"/>
      <c r="R136" s="4"/>
      <c r="S136" s="9"/>
      <c r="T136" s="1"/>
      <c r="U136" s="1"/>
      <c r="V136" s="1174"/>
      <c r="W136" s="1174"/>
      <c r="X136" s="1174"/>
      <c r="XFD136" s="1186"/>
    </row>
    <row r="137" spans="1:25 16384:16384" ht="15" hidden="1" customHeight="1">
      <c r="A137" s="1"/>
      <c r="B137" s="1"/>
      <c r="D137" s="1"/>
      <c r="E137" s="1"/>
      <c r="F137" s="1"/>
      <c r="G137" s="1"/>
      <c r="H137" s="1"/>
      <c r="I137" s="1"/>
      <c r="J137" s="1"/>
      <c r="K137" s="1"/>
      <c r="L137" s="1"/>
      <c r="M137" s="1"/>
      <c r="N137" s="1"/>
      <c r="O137" s="1"/>
      <c r="P137" s="1"/>
      <c r="Q137" s="1"/>
      <c r="R137" s="1"/>
      <c r="S137" s="151" t="s">
        <v>131</v>
      </c>
      <c r="T137" s="1"/>
      <c r="U137" s="1"/>
      <c r="V137" s="1419"/>
      <c r="W137" s="1419"/>
      <c r="X137" s="1419"/>
      <c r="Y137" s="165"/>
    </row>
    <row r="138" spans="1:25 16384:16384" s="1672" customFormat="1" ht="30" hidden="1" customHeight="1">
      <c r="A138" s="123"/>
      <c r="B138" s="123"/>
      <c r="C138" s="3"/>
      <c r="D138" s="124"/>
      <c r="E138" s="124"/>
      <c r="F138" s="124"/>
      <c r="G138" s="124"/>
      <c r="H138" s="124"/>
      <c r="I138" s="124"/>
      <c r="J138" s="124"/>
      <c r="K138" s="124"/>
      <c r="L138" s="124"/>
      <c r="M138" s="124"/>
      <c r="N138" s="124"/>
      <c r="O138" s="124"/>
      <c r="P138" s="124"/>
      <c r="Q138" s="123"/>
      <c r="R138" s="123"/>
      <c r="S138" s="1629" t="str">
        <f>IF(S136="",Text!C355,Text!C366)</f>
        <v>Bitte Antwort auswählen</v>
      </c>
      <c r="T138" s="123"/>
      <c r="U138" s="123"/>
      <c r="V138" s="23"/>
      <c r="W138" s="23"/>
      <c r="X138" s="23"/>
      <c r="Y138" s="187"/>
    </row>
    <row r="139" spans="1:25 16384:16384" s="1526" customFormat="1" ht="30" hidden="1" customHeight="1">
      <c r="A139" s="1164"/>
      <c r="B139" s="1164"/>
      <c r="C139" s="1173"/>
      <c r="D139" s="1761" t="str">
        <f>Text!C62</f>
        <v>Wurde ein Planerwahlverfahren durchgeführt? (Im Idealfall gemäss Ordnung SIA 144)</v>
      </c>
      <c r="E139" s="1761"/>
      <c r="F139" s="1761"/>
      <c r="G139" s="1761"/>
      <c r="H139" s="1761"/>
      <c r="I139" s="1761"/>
      <c r="J139" s="1761"/>
      <c r="K139" s="1761"/>
      <c r="L139" s="1761"/>
      <c r="M139" s="1761"/>
      <c r="N139" s="1761"/>
      <c r="O139" s="1761"/>
      <c r="P139" s="1761"/>
      <c r="Q139" s="1"/>
      <c r="R139" s="1"/>
      <c r="S139" s="9"/>
      <c r="T139" s="1"/>
      <c r="U139" s="1"/>
      <c r="V139" s="1176" t="str">
        <f>Text!B61&amp;".A"</f>
        <v>112.A</v>
      </c>
      <c r="W139" s="1176"/>
      <c r="X139" s="1176"/>
      <c r="Y139" s="1175"/>
    </row>
    <row r="140" spans="1:25 16384:16384" ht="15" hidden="1" customHeight="1">
      <c r="A140" s="1"/>
      <c r="B140" s="1"/>
      <c r="D140" s="1"/>
      <c r="E140" s="1"/>
      <c r="F140" s="1"/>
      <c r="G140" s="1"/>
      <c r="H140" s="1"/>
      <c r="I140" s="1"/>
      <c r="J140" s="1"/>
      <c r="K140" s="1"/>
      <c r="L140" s="1"/>
      <c r="M140" s="1"/>
      <c r="N140" s="1"/>
      <c r="O140" s="1"/>
      <c r="P140" s="1"/>
      <c r="Q140" s="795"/>
      <c r="R140" s="795"/>
      <c r="S140" s="1275" t="s">
        <v>131</v>
      </c>
      <c r="T140"/>
      <c r="U140"/>
      <c r="V140" s="979"/>
      <c r="W140" s="979"/>
      <c r="X140" s="979"/>
      <c r="Y140" s="165"/>
    </row>
    <row r="141" spans="1:25 16384:16384" ht="15" hidden="1" customHeight="1">
      <c r="A141" s="1"/>
      <c r="B141" s="1"/>
      <c r="C141" s="3"/>
      <c r="S141" s="186" t="str">
        <f>IF(S139="",Text!C355,Text!C367)</f>
        <v>Bitte Antwort auswählen</v>
      </c>
      <c r="Y141" s="165"/>
    </row>
    <row r="142" spans="1:25 16384:16384" ht="15" hidden="1" customHeight="1">
      <c r="A142" s="1"/>
      <c r="B142" s="1"/>
      <c r="C142" s="3"/>
      <c r="S142" s="186"/>
      <c r="Y142" s="165"/>
    </row>
    <row r="143" spans="1:25 16384:16384" s="1526" customFormat="1" ht="30" hidden="1" customHeight="1">
      <c r="A143" s="1164"/>
      <c r="B143" s="1164"/>
      <c r="C143" s="1166"/>
      <c r="D143" s="1761" t="str">
        <f>Text!C63</f>
        <v>Ist eine hohe architektonische und städtebauliche Qualität durch den Beizug von qualifizierten Fachleuten gewährleistet bzw. vorhanden?</v>
      </c>
      <c r="E143" s="1761"/>
      <c r="F143" s="1761"/>
      <c r="G143" s="1761"/>
      <c r="H143" s="1761"/>
      <c r="I143" s="1761"/>
      <c r="J143" s="1761"/>
      <c r="K143" s="1761"/>
      <c r="L143" s="1761"/>
      <c r="M143" s="1761"/>
      <c r="N143" s="1761"/>
      <c r="O143" s="1761"/>
      <c r="P143" s="1761"/>
      <c r="Q143" s="82"/>
      <c r="R143" s="82"/>
      <c r="S143" s="9"/>
      <c r="T143" s="82"/>
      <c r="U143" s="82"/>
      <c r="V143" s="1176" t="str">
        <f>Text!B61&amp;".B"</f>
        <v>112.B</v>
      </c>
      <c r="W143" s="1176"/>
      <c r="X143" s="1176"/>
      <c r="Y143" s="1177"/>
    </row>
    <row r="144" spans="1:25 16384:16384" s="1421" customFormat="1" ht="15" hidden="1" customHeight="1">
      <c r="A144" s="1"/>
      <c r="B144" s="1"/>
      <c r="C144" s="1"/>
      <c r="D144" s="1"/>
      <c r="E144" s="1"/>
      <c r="F144" s="1"/>
      <c r="G144" s="1"/>
      <c r="H144" s="1"/>
      <c r="I144" s="1"/>
      <c r="J144" s="1"/>
      <c r="K144" s="1"/>
      <c r="L144" s="1"/>
      <c r="M144" s="1"/>
      <c r="N144" s="1"/>
      <c r="O144" s="1"/>
      <c r="P144" s="1"/>
      <c r="Q144" s="1"/>
      <c r="R144"/>
      <c r="S144" s="1275" t="s">
        <v>131</v>
      </c>
      <c r="T144"/>
      <c r="U144"/>
      <c r="V144" s="979"/>
      <c r="W144" s="1420"/>
      <c r="X144" s="1420"/>
      <c r="Y144" s="980"/>
    </row>
    <row r="145" spans="1:25" ht="15" hidden="1" customHeight="1">
      <c r="A145" s="1"/>
      <c r="B145" s="1"/>
      <c r="C145" s="3"/>
      <c r="D145" s="13"/>
      <c r="E145" s="13"/>
      <c r="F145" s="13"/>
      <c r="G145" s="13"/>
      <c r="H145" s="13"/>
      <c r="I145" s="13"/>
      <c r="J145" s="13"/>
      <c r="K145" s="13"/>
      <c r="L145" s="13"/>
      <c r="M145" s="13"/>
      <c r="N145" s="13"/>
      <c r="O145" s="13"/>
      <c r="P145" s="13"/>
      <c r="Q145" s="13"/>
      <c r="R145" s="13"/>
      <c r="S145" s="186" t="str">
        <f>IF(S143="",Text!C355,Text!C368)</f>
        <v>Bitte Antwort auswählen</v>
      </c>
      <c r="T145" s="13"/>
      <c r="U145" s="13"/>
      <c r="V145" s="13"/>
      <c r="W145" s="13"/>
      <c r="X145" s="13"/>
      <c r="Y145" s="165"/>
    </row>
    <row r="146" spans="1:25" s="1526" customFormat="1" ht="30" hidden="1" customHeight="1">
      <c r="A146" s="1164"/>
      <c r="B146" s="1164"/>
      <c r="C146" s="1173"/>
      <c r="D146" s="1761" t="str">
        <f>Text!C64</f>
        <v>Zeichnet sich das Gebäude durch eine hohe Funktionalität aus, z. B. durch die Zweckmässigkeit der Raumorganisation und Eignung für die vorgesehene Nutzung?</v>
      </c>
      <c r="E146" s="1761"/>
      <c r="F146" s="1761"/>
      <c r="G146" s="1761"/>
      <c r="H146" s="1761"/>
      <c r="I146" s="1761"/>
      <c r="J146" s="1761"/>
      <c r="K146" s="1761"/>
      <c r="L146" s="1761"/>
      <c r="M146" s="1761"/>
      <c r="N146" s="1761"/>
      <c r="O146" s="1761"/>
      <c r="P146" s="1761"/>
      <c r="Q146" s="13"/>
      <c r="R146" s="13"/>
      <c r="S146" s="9"/>
      <c r="T146" s="13"/>
      <c r="U146" s="13"/>
      <c r="V146" s="1176" t="str">
        <f>Text!B61&amp;".C"</f>
        <v>112.C</v>
      </c>
      <c r="W146" s="1176"/>
      <c r="X146" s="1176"/>
      <c r="Y146" s="1177"/>
    </row>
    <row r="147" spans="1:25" s="1424" customFormat="1" ht="15" hidden="1" customHeight="1">
      <c r="A147" s="1"/>
      <c r="B147" s="1"/>
      <c r="C147" s="1"/>
      <c r="D147" s="1"/>
      <c r="E147" s="1"/>
      <c r="F147" s="1"/>
      <c r="G147" s="1"/>
      <c r="H147" s="1"/>
      <c r="I147" s="1"/>
      <c r="J147" s="1"/>
      <c r="K147" s="1"/>
      <c r="L147" s="1"/>
      <c r="M147" s="1"/>
      <c r="N147" s="1"/>
      <c r="O147" s="1"/>
      <c r="P147" s="1"/>
      <c r="Q147"/>
      <c r="R147"/>
      <c r="S147" s="1275" t="s">
        <v>131</v>
      </c>
      <c r="T147"/>
      <c r="U147"/>
      <c r="V147" s="979"/>
      <c r="W147" s="1420"/>
      <c r="X147" s="1420"/>
      <c r="Y147" s="1423"/>
    </row>
    <row r="148" spans="1:25" s="131" customFormat="1" ht="15" hidden="1" customHeight="1">
      <c r="A148" s="11"/>
      <c r="B148" s="22"/>
      <c r="C148" s="22"/>
      <c r="D148" s="13"/>
      <c r="E148" s="13"/>
      <c r="F148" s="13"/>
      <c r="G148" s="13"/>
      <c r="H148" s="13"/>
      <c r="I148" s="13"/>
      <c r="J148" s="13"/>
      <c r="K148" s="13"/>
      <c r="L148" s="13"/>
      <c r="M148" s="13"/>
      <c r="N148" s="13"/>
      <c r="O148" s="13"/>
      <c r="P148" s="13"/>
      <c r="Q148" s="13"/>
      <c r="R148" s="13"/>
      <c r="S148" s="186" t="str">
        <f>IF(S146="",Text!C355,Text!C369)</f>
        <v>Bitte Antwort auswählen</v>
      </c>
      <c r="T148" s="13"/>
      <c r="U148" s="13"/>
      <c r="V148" s="13"/>
      <c r="W148" s="13"/>
      <c r="X148" s="13"/>
      <c r="Y148" s="6"/>
    </row>
    <row r="149" spans="1:25" s="131" customFormat="1" ht="15" hidden="1" customHeight="1">
      <c r="C149" s="11"/>
      <c r="E149" s="11"/>
      <c r="F149" s="11"/>
      <c r="G149" s="11"/>
      <c r="H149" s="11"/>
      <c r="I149" s="11"/>
      <c r="J149" s="11"/>
      <c r="K149" s="11"/>
      <c r="L149" s="11"/>
      <c r="M149" s="11"/>
      <c r="N149" s="11"/>
      <c r="O149" s="11"/>
      <c r="P149" s="11"/>
      <c r="Q149" s="11"/>
      <c r="R149" s="11"/>
      <c r="S149" s="11"/>
      <c r="T149" s="11"/>
      <c r="U149" s="11"/>
      <c r="V149" s="11"/>
      <c r="W149" s="11"/>
      <c r="X149" s="11"/>
      <c r="Y149" s="11"/>
    </row>
    <row r="150" spans="1:25" s="131" customFormat="1" ht="15" hidden="1" customHeight="1">
      <c r="C150" s="11"/>
      <c r="D150" s="14" t="str">
        <f>IF(OR(S132="",S137="",S140="",S146=""),"",Text!C370)</f>
        <v/>
      </c>
      <c r="E150" s="11"/>
      <c r="F150" s="11"/>
      <c r="G150" s="11"/>
      <c r="H150" s="11"/>
      <c r="I150" s="11"/>
      <c r="J150" s="11"/>
      <c r="K150" s="11"/>
      <c r="L150" s="11"/>
      <c r="M150" s="11"/>
      <c r="N150" s="11"/>
      <c r="O150" s="11"/>
      <c r="P150" s="11"/>
      <c r="Q150" s="11"/>
      <c r="R150" s="11"/>
      <c r="S150" s="11"/>
      <c r="T150" s="11"/>
      <c r="U150" s="11"/>
      <c r="V150" s="11"/>
      <c r="W150" s="11"/>
      <c r="X150" s="11"/>
      <c r="Y150" s="11"/>
    </row>
    <row r="151" spans="1:25" s="131" customFormat="1" ht="30" hidden="1" customHeight="1">
      <c r="C151" s="11"/>
      <c r="D151" s="1792" t="str">
        <f>IF(OR(S132="",S137="",S140="",S146=""),"",Text!C371)</f>
        <v/>
      </c>
      <c r="E151" s="1792"/>
      <c r="F151" s="1792"/>
      <c r="G151" s="1792"/>
      <c r="H151" s="1792"/>
      <c r="I151" s="1792"/>
      <c r="J151" s="1792"/>
      <c r="K151" s="1792"/>
      <c r="L151" s="1792"/>
      <c r="M151" s="1792"/>
      <c r="N151" s="1792"/>
      <c r="O151" s="1792"/>
      <c r="P151" s="1792"/>
      <c r="Q151" s="1792"/>
      <c r="R151" s="1792"/>
      <c r="S151" s="1792"/>
      <c r="T151" s="1792"/>
      <c r="U151" s="1792"/>
      <c r="V151" s="1792"/>
      <c r="W151" s="1792"/>
      <c r="X151" s="1792"/>
      <c r="Y151" s="11"/>
    </row>
    <row r="152" spans="1:25" s="207" customFormat="1" ht="15" hidden="1" customHeight="1">
      <c r="C152" s="8"/>
      <c r="W152" s="8"/>
      <c r="X152" s="8"/>
      <c r="Y152" s="8"/>
    </row>
    <row r="153" spans="1:25" s="207" customFormat="1" ht="20.149999999999999" hidden="1" customHeight="1">
      <c r="C153" s="8"/>
      <c r="D153" s="88" t="str">
        <f>Text!C330</f>
        <v>Zurück</v>
      </c>
      <c r="E153" s="205"/>
      <c r="F153" s="205"/>
      <c r="G153" s="205"/>
      <c r="H153" s="206"/>
      <c r="I153" s="206"/>
      <c r="J153" s="206"/>
      <c r="K153" s="206"/>
      <c r="L153" s="206"/>
      <c r="M153" s="206"/>
      <c r="N153" s="206"/>
      <c r="O153" s="206"/>
      <c r="P153" s="206"/>
      <c r="Q153" s="206"/>
      <c r="R153" s="206"/>
      <c r="S153" s="205"/>
      <c r="T153" s="205"/>
      <c r="U153" s="205"/>
      <c r="V153" s="89"/>
      <c r="W153" s="8"/>
      <c r="X153" s="8"/>
      <c r="Y153" s="89" t="str">
        <f>Text!C331</f>
        <v>Weiter</v>
      </c>
    </row>
    <row r="154" spans="1:25" s="207" customFormat="1" ht="20.149999999999999" hidden="1" customHeight="1">
      <c r="C154" s="8"/>
      <c r="D154" s="88"/>
      <c r="E154" s="205"/>
      <c r="F154" s="205"/>
      <c r="G154" s="205"/>
      <c r="H154" s="206"/>
      <c r="I154" s="206"/>
      <c r="J154" s="206"/>
      <c r="K154" s="206"/>
      <c r="L154" s="206"/>
      <c r="M154" s="206"/>
      <c r="N154" s="206"/>
      <c r="O154" s="206"/>
      <c r="P154" s="206"/>
      <c r="Q154" s="206"/>
      <c r="R154" s="206"/>
      <c r="S154" s="205"/>
      <c r="T154" s="205"/>
      <c r="U154" s="205"/>
      <c r="V154" s="89"/>
      <c r="W154" s="8"/>
      <c r="X154" s="8"/>
      <c r="Y154" s="8"/>
    </row>
    <row r="155" spans="1:25" ht="20.149999999999999" hidden="1" customHeight="1">
      <c r="E155" s="1"/>
      <c r="F155" s="1729" t="str">
        <f>Text!C372</f>
        <v>Abbildung I</v>
      </c>
      <c r="G155" s="1729"/>
      <c r="H155" s="1729"/>
      <c r="I155" s="1729"/>
      <c r="J155" s="1729"/>
      <c r="K155" s="1729"/>
      <c r="L155" s="1729"/>
      <c r="M155" s="1729"/>
      <c r="N155" s="1729"/>
      <c r="O155" s="1729"/>
      <c r="P155" s="1729"/>
      <c r="Q155" s="1729"/>
      <c r="R155" s="1729"/>
      <c r="S155" s="1729"/>
      <c r="T155" s="1729"/>
      <c r="U155" s="1729"/>
      <c r="V155" s="1729"/>
      <c r="W155" s="1"/>
      <c r="X155" s="1"/>
      <c r="Y155" s="1"/>
    </row>
    <row r="156" spans="1:25" ht="20.149999999999999" hidden="1" customHeight="1">
      <c r="Y156" s="1"/>
    </row>
    <row r="157" spans="1:25" ht="32.15" hidden="1" customHeight="1">
      <c r="D157" s="1728" t="str">
        <f>Text!C373</f>
        <v>Die Ergebnisübersicht besteht aus zwei Teilen. Die erste Abbildung stellt ein Spinnendiagram dar. Dieses kann zur Analyse von Stärken und Schwächen eines Projekts verwendet werden, aber auch beim Vergleich verschiedener Projekte.</v>
      </c>
      <c r="E157" s="1728"/>
      <c r="F157" s="1728"/>
      <c r="G157" s="1728"/>
      <c r="H157" s="1728"/>
      <c r="I157" s="1728"/>
      <c r="J157" s="1728"/>
      <c r="K157" s="1728"/>
      <c r="L157" s="1728"/>
      <c r="M157" s="1728"/>
      <c r="N157" s="1728"/>
      <c r="O157" s="1728"/>
      <c r="P157" s="1728"/>
      <c r="Q157" s="1728"/>
      <c r="R157" s="1728"/>
      <c r="S157" s="1728"/>
      <c r="T157" s="1728"/>
      <c r="U157" s="1728"/>
      <c r="V157" s="1728"/>
      <c r="W157" s="1728"/>
      <c r="X157" s="1728"/>
      <c r="Y157" s="1728"/>
    </row>
    <row r="158" spans="1:25" ht="12" hidden="1" customHeight="1">
      <c r="D158" s="1"/>
      <c r="E158" s="1"/>
      <c r="G158" s="1"/>
      <c r="H158" s="1"/>
      <c r="I158" s="1"/>
      <c r="J158" s="1"/>
      <c r="K158" s="1"/>
      <c r="L158" s="1"/>
      <c r="M158" s="1"/>
      <c r="N158" s="1"/>
      <c r="O158" s="1"/>
      <c r="P158" s="1"/>
      <c r="Q158" s="1"/>
      <c r="R158" s="1"/>
      <c r="S158" s="1"/>
      <c r="T158" s="1"/>
      <c r="U158" s="1"/>
      <c r="V158" s="1"/>
      <c r="W158" s="1"/>
      <c r="X158" s="1"/>
      <c r="Y158" s="1"/>
    </row>
    <row r="159" spans="1:25" ht="12" hidden="1" customHeight="1">
      <c r="D159" s="1"/>
      <c r="E159" s="1"/>
      <c r="G159" s="1"/>
      <c r="H159" s="1"/>
      <c r="I159" s="1"/>
      <c r="J159" s="1"/>
      <c r="K159" s="1"/>
      <c r="L159" s="1"/>
      <c r="M159" s="1"/>
      <c r="N159" s="1"/>
      <c r="O159" s="1"/>
      <c r="P159" s="1"/>
      <c r="Q159" s="1"/>
      <c r="R159" s="1"/>
      <c r="S159" s="1"/>
      <c r="T159" s="1"/>
      <c r="U159" s="1"/>
      <c r="V159" s="1"/>
      <c r="W159" s="1"/>
      <c r="X159" s="1"/>
      <c r="Y159" s="1"/>
    </row>
    <row r="160" spans="1:25" ht="12" hidden="1" customHeight="1">
      <c r="D160" s="1"/>
      <c r="E160" s="1"/>
      <c r="I160" s="1"/>
      <c r="J160" s="1750" t="str">
        <f>Text!C374</f>
        <v>In der nebenstehenden Grafik kann folgendes abgelesen werden:</v>
      </c>
      <c r="K160" s="1750"/>
      <c r="L160" s="1750"/>
      <c r="M160" s="1750"/>
      <c r="N160" s="1750"/>
      <c r="O160" s="1750"/>
      <c r="P160" s="1750"/>
      <c r="Q160" s="1750"/>
      <c r="R160" s="1750"/>
      <c r="S160" s="1750"/>
      <c r="T160" s="1750"/>
      <c r="U160" s="1750"/>
      <c r="V160" s="1750"/>
      <c r="W160" s="1750"/>
      <c r="X160" s="1750"/>
      <c r="Y160" s="1750"/>
    </row>
    <row r="161" spans="4:25" ht="12" hidden="1" customHeight="1">
      <c r="D161" s="1"/>
      <c r="E161" s="1"/>
      <c r="G161" s="1"/>
      <c r="H161" s="1"/>
      <c r="J161" s="1"/>
      <c r="L161" s="1"/>
      <c r="M161" s="1"/>
      <c r="N161" s="1"/>
      <c r="O161" s="1"/>
      <c r="P161" s="1"/>
      <c r="Q161" s="1"/>
      <c r="R161" s="1"/>
      <c r="S161" s="1"/>
      <c r="T161" s="1"/>
      <c r="U161" s="1"/>
      <c r="V161" s="1"/>
      <c r="W161" s="1"/>
      <c r="X161" s="1"/>
      <c r="Y161" s="1"/>
    </row>
    <row r="162" spans="4:25" ht="15" hidden="1" customHeight="1">
      <c r="D162" s="1"/>
      <c r="E162" s="1"/>
      <c r="G162" s="1"/>
      <c r="H162" s="1"/>
      <c r="J162" s="1728" t="str">
        <f>Text!C377</f>
        <v>Bei den Wirtschaftsthemen (blau dargestellt) schneidet das Projekt allgemein schwach ab. Der Umgang mit den Themen ''Lebenszyklus'' und ''Regionalökonomie'' sollte überdacht werden.</v>
      </c>
      <c r="K162" s="1728"/>
      <c r="L162" s="1728"/>
      <c r="M162" s="1728"/>
      <c r="N162" s="1728"/>
      <c r="O162" s="1728"/>
      <c r="P162" s="1728"/>
      <c r="Q162" s="1728"/>
      <c r="R162" s="1728"/>
      <c r="S162" s="1728"/>
      <c r="T162" s="1728"/>
      <c r="U162" s="1728"/>
      <c r="V162" s="1728"/>
      <c r="W162" s="1728"/>
      <c r="X162" s="1728"/>
      <c r="Y162" s="1728"/>
    </row>
    <row r="163" spans="4:25" ht="15" hidden="1" customHeight="1">
      <c r="D163" s="1"/>
      <c r="E163" s="1"/>
      <c r="G163" s="1"/>
      <c r="H163" s="1"/>
      <c r="J163" s="1728"/>
      <c r="K163" s="1728"/>
      <c r="L163" s="1728"/>
      <c r="M163" s="1728"/>
      <c r="N163" s="1728"/>
      <c r="O163" s="1728"/>
      <c r="P163" s="1728"/>
      <c r="Q163" s="1728"/>
      <c r="R163" s="1728"/>
      <c r="S163" s="1728"/>
      <c r="T163" s="1728"/>
      <c r="U163" s="1728"/>
      <c r="V163" s="1728"/>
      <c r="W163" s="1728"/>
      <c r="X163" s="1728"/>
      <c r="Y163" s="1728"/>
    </row>
    <row r="164" spans="4:25" ht="10.4" hidden="1" customHeight="1">
      <c r="D164" s="1"/>
      <c r="E164" s="1"/>
      <c r="G164" s="1"/>
      <c r="H164" s="1"/>
      <c r="K164" s="124"/>
      <c r="L164" s="124"/>
      <c r="M164" s="124"/>
      <c r="N164" s="124"/>
      <c r="O164" s="124"/>
      <c r="P164" s="124"/>
      <c r="Q164" s="124"/>
      <c r="R164" s="124"/>
      <c r="S164" s="124"/>
      <c r="T164" s="124"/>
      <c r="U164" s="124"/>
      <c r="V164" s="124"/>
      <c r="W164" s="124"/>
      <c r="X164" s="124"/>
      <c r="Y164" s="124"/>
    </row>
    <row r="165" spans="4:25" ht="32.15" hidden="1" customHeight="1">
      <c r="D165" s="1"/>
      <c r="E165" s="1"/>
      <c r="G165" s="1"/>
      <c r="H165" s="1"/>
      <c r="J165" s="1728" t="str">
        <f>Text!C376</f>
        <v>Im Bereich ''Gesellschaft'' (rot dargestellt) schneidet das Projekt beim Thema ''Wohlbefinden &amp; Gesundheit'' eher schlecht ab. Vor allem die Kriterien 141 ''Raumluftqualität'', 143 ''Mikroklima''und 144 ''Sommerlicher Wärmeschutz'' sollte eine Nachbesserung überprüft werden.</v>
      </c>
      <c r="K165" s="1728"/>
      <c r="L165" s="1728"/>
      <c r="M165" s="1728"/>
      <c r="N165" s="1728"/>
      <c r="O165" s="1728"/>
      <c r="P165" s="1728"/>
      <c r="Q165" s="1728"/>
      <c r="R165" s="1728"/>
      <c r="S165" s="1728"/>
      <c r="T165" s="1728"/>
      <c r="U165" s="1728"/>
      <c r="V165" s="1728"/>
      <c r="W165" s="1728"/>
      <c r="X165" s="1728"/>
      <c r="Y165" s="1728"/>
    </row>
    <row r="166" spans="4:25" ht="15" hidden="1" customHeight="1">
      <c r="D166" s="1"/>
      <c r="E166" s="1"/>
      <c r="G166" s="1"/>
      <c r="H166" s="1"/>
      <c r="J166" s="125"/>
      <c r="K166" s="125"/>
      <c r="L166" s="125"/>
      <c r="M166" s="125"/>
      <c r="N166" s="125"/>
      <c r="O166" s="125"/>
      <c r="P166" s="125"/>
      <c r="Q166" s="125"/>
      <c r="R166" s="125"/>
      <c r="S166" s="125"/>
      <c r="T166" s="125"/>
      <c r="U166" s="125"/>
      <c r="V166" s="125"/>
      <c r="W166" s="125"/>
      <c r="X166" s="1"/>
      <c r="Y166" s="1"/>
    </row>
    <row r="167" spans="4:25" ht="12" hidden="1" customHeight="1">
      <c r="D167" s="1"/>
      <c r="E167" s="1"/>
      <c r="G167" s="1"/>
      <c r="H167" s="1"/>
      <c r="J167" s="1728" t="str">
        <f>Text!C375</f>
        <v>Bei den Umweltthemen (grün dargestellt) schneidet das Projekt besonders gut ab. Die Anforderungen der Kriterien werden grösstenteils erfüllt.</v>
      </c>
      <c r="K167" s="1728"/>
      <c r="L167" s="1728"/>
      <c r="M167" s="1728"/>
      <c r="N167" s="1728"/>
      <c r="O167" s="1728"/>
      <c r="P167" s="1728"/>
      <c r="Q167" s="1728"/>
      <c r="R167" s="1728"/>
      <c r="S167" s="1728"/>
      <c r="T167" s="1728"/>
      <c r="U167" s="1728"/>
      <c r="V167" s="1728"/>
      <c r="W167" s="1728"/>
      <c r="X167" s="1728"/>
      <c r="Y167" s="1728"/>
    </row>
    <row r="168" spans="4:25" ht="15" hidden="1" customHeight="1">
      <c r="D168" s="1"/>
      <c r="E168" s="1"/>
      <c r="G168" s="1"/>
      <c r="H168" s="1"/>
      <c r="J168" s="1728"/>
      <c r="K168" s="1728"/>
      <c r="L168" s="1728"/>
      <c r="M168" s="1728"/>
      <c r="N168" s="1728"/>
      <c r="O168" s="1728"/>
      <c r="P168" s="1728"/>
      <c r="Q168" s="1728"/>
      <c r="R168" s="1728"/>
      <c r="S168" s="1728"/>
      <c r="T168" s="1728"/>
      <c r="U168" s="1728"/>
      <c r="V168" s="1728"/>
      <c r="W168" s="1728"/>
      <c r="X168" s="1728"/>
      <c r="Y168" s="1728"/>
    </row>
    <row r="169" spans="4:25" ht="12" hidden="1" customHeight="1">
      <c r="D169" s="1"/>
      <c r="E169" s="1"/>
      <c r="G169" s="1"/>
      <c r="H169" s="1"/>
      <c r="J169" s="164"/>
      <c r="K169" s="164"/>
      <c r="L169" s="164"/>
      <c r="M169" s="164"/>
      <c r="N169" s="164"/>
      <c r="O169" s="164"/>
      <c r="P169" s="164"/>
      <c r="Q169" s="164"/>
      <c r="R169" s="164"/>
      <c r="S169" s="164"/>
      <c r="T169" s="164"/>
      <c r="U169" s="164"/>
      <c r="V169" s="164"/>
      <c r="W169" s="164"/>
      <c r="X169" s="164"/>
      <c r="Y169" s="1"/>
    </row>
    <row r="170" spans="4:25" ht="12" hidden="1" customHeight="1">
      <c r="D170" s="1"/>
      <c r="E170" s="1"/>
      <c r="G170" s="1"/>
      <c r="H170" s="1"/>
      <c r="J170" s="1728" t="str">
        <f>Text!C378</f>
        <v>Zur besseren Lesbarkeit der Ergebnisse werden die als "ungenügend" oder als "Stolperstein" bewerteten Kriterien in einer dritten Abbildung aufgezeigt (vgl. Liste unten).</v>
      </c>
      <c r="K170" s="1728"/>
      <c r="L170" s="1728"/>
      <c r="M170" s="1728"/>
      <c r="N170" s="1728"/>
      <c r="O170" s="1728"/>
      <c r="P170" s="1728"/>
      <c r="Q170" s="1728"/>
      <c r="R170" s="1728"/>
      <c r="S170" s="1728"/>
      <c r="T170" s="1728"/>
      <c r="U170" s="1728"/>
      <c r="V170" s="1728"/>
      <c r="W170" s="1728"/>
      <c r="X170" s="1728"/>
      <c r="Y170" s="1728"/>
    </row>
    <row r="171" spans="4:25" ht="12" hidden="1" customHeight="1">
      <c r="D171" s="1"/>
      <c r="E171" s="1"/>
      <c r="G171" s="1"/>
      <c r="H171" s="1"/>
      <c r="I171" s="124"/>
      <c r="J171" s="1728"/>
      <c r="K171" s="1728"/>
      <c r="L171" s="1728"/>
      <c r="M171" s="1728"/>
      <c r="N171" s="1728"/>
      <c r="O171" s="1728"/>
      <c r="P171" s="1728"/>
      <c r="Q171" s="1728"/>
      <c r="R171" s="1728"/>
      <c r="S171" s="1728"/>
      <c r="T171" s="1728"/>
      <c r="U171" s="1728"/>
      <c r="V171" s="1728"/>
      <c r="W171" s="1728"/>
      <c r="X171" s="1728"/>
      <c r="Y171" s="1728"/>
    </row>
    <row r="172" spans="4:25" ht="12" hidden="1" customHeight="1">
      <c r="D172" s="1"/>
      <c r="E172" s="1"/>
      <c r="G172" s="1"/>
      <c r="H172" s="1"/>
      <c r="I172" s="124"/>
      <c r="J172" s="1728"/>
      <c r="K172" s="1728"/>
      <c r="L172" s="1728"/>
      <c r="M172" s="1728"/>
      <c r="N172" s="1728"/>
      <c r="O172" s="1728"/>
      <c r="P172" s="1728"/>
      <c r="Q172" s="1728"/>
      <c r="R172" s="1728"/>
      <c r="S172" s="1728"/>
      <c r="T172" s="1728"/>
      <c r="U172" s="1728"/>
      <c r="V172" s="1728"/>
      <c r="W172" s="1728"/>
      <c r="X172" s="1728"/>
      <c r="Y172" s="1728"/>
    </row>
    <row r="173" spans="4:25" ht="3" hidden="1" customHeight="1">
      <c r="D173" s="1"/>
      <c r="E173" s="1"/>
      <c r="G173" s="1"/>
      <c r="H173" s="1"/>
      <c r="J173" s="1728"/>
      <c r="K173" s="1728"/>
      <c r="L173" s="1728"/>
      <c r="M173" s="1728"/>
      <c r="N173" s="1728"/>
      <c r="O173" s="1728"/>
      <c r="P173" s="1728"/>
      <c r="Q173" s="1728"/>
      <c r="R173" s="1728"/>
      <c r="S173" s="1728"/>
      <c r="T173" s="1728"/>
      <c r="U173" s="1728"/>
      <c r="V173" s="1728"/>
      <c r="W173" s="1728"/>
      <c r="X173" s="1728"/>
      <c r="Y173" s="1728"/>
    </row>
    <row r="174" spans="4:25" ht="12" hidden="1" customHeight="1">
      <c r="D174" s="1"/>
      <c r="E174" s="1"/>
      <c r="G174" s="1"/>
      <c r="H174" s="1"/>
      <c r="Q174" s="1"/>
      <c r="R174" s="1"/>
      <c r="S174" s="1"/>
      <c r="T174" s="1"/>
      <c r="U174" s="1"/>
      <c r="V174" s="1"/>
      <c r="W174" s="1"/>
      <c r="X174" s="1"/>
      <c r="Y174" s="1"/>
    </row>
    <row r="175" spans="4:25" ht="12" hidden="1" customHeight="1">
      <c r="D175" s="1"/>
      <c r="E175" s="1"/>
      <c r="G175" s="1"/>
      <c r="H175" s="1"/>
      <c r="J175" s="1" t="str">
        <f>Text!C379</f>
        <v xml:space="preserve">Folgende Kriterien werden als "Stolpersteine" im Hinblick auf die Realisierung eines gesamtheitlich nachhaltigen Projektes identifiziert: </v>
      </c>
      <c r="K175" s="1"/>
      <c r="L175" s="1"/>
      <c r="M175" s="1"/>
      <c r="N175" s="1"/>
      <c r="O175" s="1"/>
      <c r="P175" s="1"/>
      <c r="Q175" s="189"/>
      <c r="R175" s="189"/>
      <c r="S175" s="189"/>
      <c r="T175" s="189"/>
      <c r="U175" s="189"/>
      <c r="V175" s="1"/>
      <c r="W175" s="1"/>
      <c r="X175" s="1"/>
      <c r="Y175" s="1"/>
    </row>
    <row r="176" spans="4:25" ht="12" hidden="1" customHeight="1">
      <c r="D176" s="1"/>
      <c r="E176" s="1"/>
      <c r="G176" s="1"/>
      <c r="H176" s="1"/>
      <c r="J176" s="1425" t="str">
        <f>Text!AK23</f>
        <v>Gesellschaft</v>
      </c>
      <c r="K176" s="1"/>
      <c r="L176" s="1426" t="str">
        <f>Text!C380</f>
        <v>111 112 122 141 143 144 147</v>
      </c>
      <c r="M176" s="11"/>
      <c r="N176" s="11"/>
      <c r="O176" s="11"/>
      <c r="P176" s="11"/>
      <c r="Q176" s="1"/>
      <c r="R176" s="1"/>
      <c r="S176" s="1"/>
      <c r="T176" s="188"/>
      <c r="U176" s="188"/>
      <c r="V176" s="1"/>
      <c r="W176" s="1"/>
      <c r="X176" s="1"/>
      <c r="Y176" s="1"/>
    </row>
    <row r="177" spans="2:27" ht="12" hidden="1" customHeight="1">
      <c r="D177" s="1"/>
      <c r="E177" s="1"/>
      <c r="G177" s="1"/>
      <c r="H177" s="1"/>
      <c r="I177" s="1"/>
      <c r="J177" s="1427" t="str">
        <f>Text!AK38</f>
        <v>Wirtschaft</v>
      </c>
      <c r="K177" s="1"/>
      <c r="L177" s="1" t="str">
        <f>Text!C381</f>
        <v>212 213 231</v>
      </c>
      <c r="M177" s="1"/>
      <c r="N177" s="1"/>
      <c r="O177" s="1"/>
      <c r="P177" s="1"/>
      <c r="Q177" s="1"/>
      <c r="R177" s="1"/>
      <c r="S177" s="1"/>
      <c r="T177" s="188"/>
      <c r="U177" s="188"/>
      <c r="V177" s="1"/>
      <c r="W177" s="1"/>
      <c r="X177" s="1"/>
      <c r="Y177" s="1"/>
    </row>
    <row r="178" spans="2:27" ht="12" hidden="1" customHeight="1">
      <c r="D178" s="1"/>
      <c r="E178" s="1"/>
      <c r="G178" s="1"/>
      <c r="H178" s="1"/>
      <c r="I178" s="1"/>
      <c r="J178" s="1428" t="str">
        <f>Text!AK46</f>
        <v>Umwelt</v>
      </c>
      <c r="K178" s="1"/>
      <c r="L178" s="1"/>
      <c r="M178" s="1"/>
      <c r="N178" s="1"/>
      <c r="O178" s="1"/>
      <c r="P178" s="1"/>
      <c r="Q178" s="1"/>
      <c r="R178" s="1"/>
      <c r="S178" s="1"/>
      <c r="T178" s="1"/>
      <c r="U178" s="1"/>
      <c r="V178" s="1"/>
      <c r="W178" s="1"/>
      <c r="X178" s="1"/>
      <c r="Y178" s="1"/>
    </row>
    <row r="179" spans="2:27" s="90" customFormat="1" ht="20.149999999999999" hidden="1" customHeight="1">
      <c r="C179" s="48"/>
      <c r="D179" s="48"/>
      <c r="E179" s="48"/>
      <c r="G179" s="48"/>
      <c r="H179" s="48"/>
      <c r="I179" s="48"/>
      <c r="J179" s="48"/>
      <c r="K179" s="48"/>
      <c r="L179" s="48"/>
      <c r="M179" s="48"/>
      <c r="N179" s="48"/>
      <c r="O179" s="48"/>
      <c r="P179" s="48"/>
      <c r="Q179" s="48"/>
      <c r="R179" s="48"/>
      <c r="S179" s="48"/>
      <c r="T179" s="48"/>
      <c r="U179" s="48"/>
      <c r="V179" s="48"/>
      <c r="W179" s="48"/>
      <c r="X179" s="48"/>
      <c r="Y179" s="48"/>
    </row>
    <row r="180" spans="2:27" s="90" customFormat="1" ht="20.149999999999999" hidden="1" customHeight="1">
      <c r="C180" s="48"/>
      <c r="D180" s="88" t="str">
        <f>Text!C330</f>
        <v>Zurück</v>
      </c>
      <c r="E180" s="48"/>
      <c r="H180" s="199"/>
      <c r="I180" s="199"/>
      <c r="J180" s="199"/>
      <c r="K180" s="199"/>
      <c r="L180" s="199"/>
      <c r="M180" s="199"/>
      <c r="N180" s="199"/>
      <c r="O180" s="199"/>
      <c r="P180" s="199"/>
      <c r="Q180" s="200"/>
      <c r="R180" s="48"/>
      <c r="S180" s="48"/>
      <c r="T180" s="48"/>
      <c r="U180" s="89"/>
      <c r="V180" s="89"/>
      <c r="W180" s="48"/>
      <c r="X180" s="48"/>
      <c r="Y180" s="89" t="str">
        <f>Text!C331</f>
        <v>Weiter</v>
      </c>
    </row>
    <row r="181" spans="2:27" s="90" customFormat="1" ht="20.149999999999999" hidden="1" customHeight="1">
      <c r="C181" s="48"/>
      <c r="D181" s="48"/>
      <c r="E181" s="48"/>
      <c r="G181" s="48"/>
      <c r="H181" s="48"/>
      <c r="I181" s="48"/>
      <c r="J181" s="48"/>
      <c r="K181" s="48"/>
      <c r="L181" s="48"/>
      <c r="M181" s="48"/>
      <c r="N181" s="48"/>
      <c r="O181" s="48"/>
      <c r="P181" s="48"/>
      <c r="Q181" s="48"/>
      <c r="R181" s="48"/>
      <c r="S181" s="48"/>
      <c r="T181" s="48"/>
      <c r="U181" s="48"/>
      <c r="V181" s="48"/>
      <c r="W181" s="48"/>
      <c r="X181" s="48"/>
      <c r="Y181" s="48"/>
    </row>
    <row r="182" spans="2:27" s="131" customFormat="1" ht="20.149999999999999" hidden="1" customHeight="1">
      <c r="C182" s="11"/>
      <c r="D182" s="11"/>
      <c r="E182" s="11"/>
      <c r="F182" s="1729" t="str">
        <f>Text!C383</f>
        <v>Abbildung II</v>
      </c>
      <c r="G182" s="1729"/>
      <c r="H182" s="1729"/>
      <c r="I182" s="1729"/>
      <c r="J182" s="1729"/>
      <c r="K182" s="1729"/>
      <c r="L182" s="1729"/>
      <c r="M182" s="1729"/>
      <c r="N182" s="1729"/>
      <c r="O182" s="1729"/>
      <c r="P182" s="1729"/>
      <c r="Q182" s="1729"/>
      <c r="R182" s="1729"/>
      <c r="S182" s="1729"/>
      <c r="T182" s="1729"/>
      <c r="U182" s="1729"/>
      <c r="V182" s="1729"/>
      <c r="W182" s="11"/>
      <c r="X182" s="11"/>
      <c r="Y182" s="11"/>
    </row>
    <row r="183" spans="2:27" ht="20.149999999999999" hidden="1" customHeight="1">
      <c r="W183" s="1"/>
      <c r="X183" s="1"/>
      <c r="Y183" s="1"/>
    </row>
    <row r="184" spans="2:27" ht="12" hidden="1" customHeight="1">
      <c r="D184" s="1767" t="str">
        <f>Text!C384</f>
        <v>Im zweiten Teil wird die Bewertung der Bereiche und der einzelnen Themen mit horizontalen Balken graphisch dargestellt.</v>
      </c>
      <c r="E184" s="1767"/>
      <c r="F184" s="1767"/>
      <c r="G184" s="1767"/>
      <c r="H184" s="1767"/>
      <c r="I184" s="1767"/>
      <c r="J184" s="1767"/>
      <c r="K184" s="1767"/>
      <c r="L184" s="1767"/>
      <c r="M184" s="1767"/>
      <c r="N184" s="1767"/>
      <c r="O184" s="1767"/>
      <c r="P184" s="1767"/>
      <c r="Q184" s="1767"/>
      <c r="R184" s="1767"/>
      <c r="S184" s="1767"/>
      <c r="T184" s="1767"/>
      <c r="U184" s="1767"/>
      <c r="V184" s="1767"/>
      <c r="W184" s="1767"/>
      <c r="X184" s="1767"/>
      <c r="Y184" s="1767"/>
    </row>
    <row r="185" spans="2:27" ht="30" hidden="1" customHeight="1">
      <c r="D185" s="1767" t="str">
        <f>Text!C385</f>
        <v>Der mittlere Teil zeigt die Bewertung für jedes Kriterium wie vorgängig erläutert.
(Stolperstein = rot, umrahmt und in Fettschrift / Ungenügend = rot / Genügend = grün / Gut = grün, durchgestrichen und in Fettschrift)</v>
      </c>
      <c r="E185" s="1767"/>
      <c r="F185" s="1767"/>
      <c r="G185" s="1767"/>
      <c r="H185" s="1767"/>
      <c r="I185" s="1767"/>
      <c r="J185" s="1767"/>
      <c r="K185" s="1767"/>
      <c r="L185" s="1767"/>
      <c r="M185" s="1767"/>
      <c r="N185" s="1767"/>
      <c r="O185" s="1767"/>
      <c r="P185" s="1767"/>
      <c r="Q185" s="1767"/>
      <c r="R185" s="1767"/>
      <c r="S185" s="1767"/>
      <c r="T185" s="1767"/>
      <c r="U185" s="1767"/>
      <c r="V185" s="1767"/>
      <c r="W185" s="1767"/>
      <c r="X185" s="1767"/>
      <c r="Y185" s="1767"/>
    </row>
    <row r="186" spans="2:27" ht="94.5" hidden="1" customHeight="1">
      <c r="D186" s="1"/>
      <c r="E186" s="1"/>
      <c r="G186" s="1"/>
      <c r="H186" s="1"/>
      <c r="I186" s="1"/>
      <c r="J186" s="1"/>
      <c r="K186" s="1"/>
      <c r="L186" s="1"/>
      <c r="M186" s="1"/>
      <c r="N186" s="1"/>
      <c r="O186" s="1"/>
      <c r="P186" s="1"/>
      <c r="Q186" s="1"/>
      <c r="R186" s="1"/>
      <c r="S186" s="1"/>
      <c r="T186" s="1"/>
      <c r="U186" s="1"/>
      <c r="V186" s="1"/>
      <c r="W186" s="1"/>
      <c r="X186" s="1"/>
      <c r="Y186" s="1"/>
    </row>
    <row r="187" spans="2:27" ht="12" hidden="1" customHeight="1">
      <c r="B187" s="1749" t="str">
        <f>Text!AK23</f>
        <v>Gesellschaft</v>
      </c>
      <c r="C187" s="1749"/>
      <c r="D187" s="1749"/>
      <c r="E187" s="1803" t="str">
        <f>Text!C386</f>
        <v>Im Bereich ''Gesellschaft'' wird ein Erfüllungsgrad von 73 % erzielt.</v>
      </c>
      <c r="F187" s="1803"/>
      <c r="G187" s="1803"/>
      <c r="H187" s="1803"/>
      <c r="I187" s="1803"/>
      <c r="J187" s="1803"/>
      <c r="K187" s="1803"/>
      <c r="L187" s="1304"/>
      <c r="M187" s="1304"/>
      <c r="N187" s="1304"/>
      <c r="R187" s="1797" t="str">
        <f>Text!BE72</f>
        <v>Stolperstein</v>
      </c>
      <c r="S187" s="1798"/>
      <c r="T187" s="170"/>
      <c r="W187" s="170"/>
      <c r="Z187" s="170"/>
      <c r="AA187" s="1414">
        <f>Text!BG165</f>
        <v>0</v>
      </c>
    </row>
    <row r="188" spans="2:27" ht="12" hidden="1" customHeight="1">
      <c r="B188" s="1749"/>
      <c r="C188" s="1749"/>
      <c r="D188" s="1749"/>
      <c r="E188" s="1803"/>
      <c r="F188" s="1803"/>
      <c r="G188" s="1803"/>
      <c r="H188" s="1803"/>
      <c r="I188" s="1803"/>
      <c r="J188" s="1803"/>
      <c r="K188" s="1803"/>
      <c r="L188" s="1304"/>
      <c r="M188" s="1304"/>
      <c r="N188" s="1304"/>
      <c r="O188" s="1304"/>
      <c r="Y188" s="1"/>
    </row>
    <row r="189" spans="2:27" ht="12" hidden="1" customHeight="1">
      <c r="B189" s="1749"/>
      <c r="C189" s="1749"/>
      <c r="D189" s="1749"/>
      <c r="E189" s="1803"/>
      <c r="F189" s="1803"/>
      <c r="G189" s="1803"/>
      <c r="H189" s="1803"/>
      <c r="I189" s="1803"/>
      <c r="J189" s="1803"/>
      <c r="K189" s="1803"/>
      <c r="L189" s="1304"/>
      <c r="M189" s="1304"/>
      <c r="N189" s="1304"/>
      <c r="O189" s="1304"/>
      <c r="R189" s="1780" t="str">
        <f>Text!BD72</f>
        <v>Ungenügend</v>
      </c>
      <c r="S189" s="1780"/>
      <c r="Y189" s="1"/>
    </row>
    <row r="190" spans="2:27" ht="12" hidden="1" customHeight="1" thickBot="1">
      <c r="D190" s="1"/>
      <c r="E190" s="1"/>
      <c r="F190" s="1"/>
      <c r="G190" s="1"/>
      <c r="H190" s="1"/>
      <c r="I190" s="1"/>
      <c r="J190" s="235"/>
      <c r="N190" s="1424"/>
      <c r="O190" s="131"/>
      <c r="P190" s="1271"/>
      <c r="Q190"/>
      <c r="R190"/>
      <c r="S190" s="1421"/>
      <c r="T190" s="1421"/>
      <c r="U190" s="1421"/>
      <c r="V190"/>
      <c r="W190"/>
      <c r="X190"/>
      <c r="Y190"/>
    </row>
    <row r="191" spans="2:27" ht="12" hidden="1" customHeight="1" thickTop="1" thickBot="1">
      <c r="B191" s="1715">
        <f>Text!AM23</f>
        <v>11</v>
      </c>
      <c r="D191" s="1718" t="str">
        <f>Text!$BA$23</f>
        <v xml:space="preserve">             Qualität der Entwicklung</v>
      </c>
      <c r="E191" s="1430"/>
      <c r="F191" s="1436">
        <f>Text!$AQ$23</f>
        <v>111</v>
      </c>
      <c r="G191" s="1746" t="str">
        <f>Text!$AR$23</f>
        <v>Ziele &amp; Pflichtenhefte</v>
      </c>
      <c r="H191" s="1747"/>
      <c r="I191" s="1747"/>
      <c r="J191" s="1747"/>
      <c r="K191" s="1748"/>
      <c r="N191" s="1227"/>
      <c r="O191" s="60"/>
      <c r="P191" s="1432"/>
      <c r="Q191" s="1432"/>
      <c r="R191" s="1796" t="str">
        <f>Text!BC72</f>
        <v>Genügend</v>
      </c>
      <c r="S191" s="1796"/>
      <c r="T191" s="1433"/>
      <c r="U191" s="1421"/>
      <c r="V191" s="1421"/>
      <c r="W191" s="1421"/>
      <c r="X191" s="1421"/>
      <c r="Y191"/>
    </row>
    <row r="192" spans="2:27" ht="12" hidden="1" customHeight="1" thickTop="1" thickBot="1">
      <c r="B192" s="1716"/>
      <c r="D192" s="1719"/>
      <c r="E192" s="1430"/>
      <c r="F192" s="1429">
        <f>Text!$AQ$24</f>
        <v>112</v>
      </c>
      <c r="G192" s="1768" t="str">
        <f>Text!$AR$24</f>
        <v>Städtebau &amp; Architektur</v>
      </c>
      <c r="H192" s="1769"/>
      <c r="I192" s="1769"/>
      <c r="J192" s="1769"/>
      <c r="K192" s="1770"/>
      <c r="N192" s="1421"/>
      <c r="P192" s="1421"/>
      <c r="Q192" s="1421"/>
      <c r="T192" s="1288"/>
      <c r="U192" s="1288"/>
      <c r="V192" s="1288"/>
      <c r="W192"/>
      <c r="X192"/>
      <c r="Y192"/>
    </row>
    <row r="193" spans="1:25" ht="12" hidden="1" customHeight="1" thickTop="1" thickBot="1">
      <c r="B193" s="1716"/>
      <c r="D193" s="1720"/>
      <c r="E193" s="1430"/>
      <c r="F193" s="1436">
        <f>Text!$AQ$25</f>
        <v>113</v>
      </c>
      <c r="G193" s="1781" t="str">
        <f>Text!$AR$25</f>
        <v>Partizipation</v>
      </c>
      <c r="H193" s="1782"/>
      <c r="I193" s="1782"/>
      <c r="J193" s="1782"/>
      <c r="K193" s="1783"/>
      <c r="N193" s="755"/>
      <c r="O193" s="60"/>
      <c r="P193" s="220"/>
      <c r="Q193" s="220"/>
      <c r="R193" s="1799" t="str">
        <f>Text!BB72</f>
        <v>Gut</v>
      </c>
      <c r="S193" s="1799"/>
      <c r="T193" s="1288"/>
      <c r="U193" s="1288"/>
      <c r="V193" s="1288"/>
      <c r="W193"/>
      <c r="X193"/>
      <c r="Y193"/>
    </row>
    <row r="194" spans="1:25" ht="2.15" hidden="1" customHeight="1" thickBot="1">
      <c r="B194" s="1717"/>
      <c r="D194" s="1718" t="str">
        <f>Text!$BA$24</f>
        <v xml:space="preserve">             Angebot &amp; Erreichbarkeit</v>
      </c>
      <c r="E194" s="1431"/>
      <c r="N194" s="1227"/>
      <c r="O194" s="60"/>
      <c r="P194" s="1434"/>
      <c r="Q194" s="1434"/>
      <c r="T194" s="1434"/>
      <c r="U194" s="220"/>
      <c r="V194" s="220"/>
      <c r="W194"/>
      <c r="X194"/>
      <c r="Y194"/>
    </row>
    <row r="195" spans="1:25" ht="12" hidden="1" customHeight="1" thickTop="1" thickBot="1">
      <c r="B195" s="1721">
        <f>Text!AM26</f>
        <v>12</v>
      </c>
      <c r="D195" s="1719"/>
      <c r="E195" s="1430"/>
      <c r="F195" s="1429">
        <f>Text!$AQ$26</f>
        <v>121</v>
      </c>
      <c r="G195" s="1768" t="str">
        <f>Text!$AR$26</f>
        <v>Erreichbarkeit &amp; Nutzungsangebot im Quartierumfeld</v>
      </c>
      <c r="H195" s="1769"/>
      <c r="I195" s="1769"/>
      <c r="J195" s="1769"/>
      <c r="K195" s="1770"/>
      <c r="N195" s="1227"/>
      <c r="O195" s="60"/>
      <c r="P195" s="1434"/>
      <c r="Q195" s="1434"/>
      <c r="T195" s="1434"/>
      <c r="U195" s="220"/>
      <c r="V195" s="1435"/>
      <c r="W195" s="1435"/>
      <c r="X195"/>
      <c r="Y195"/>
    </row>
    <row r="196" spans="1:25" ht="12" hidden="1" customHeight="1" thickTop="1" thickBot="1">
      <c r="B196" s="1722"/>
      <c r="D196" s="1719"/>
      <c r="E196" s="1430"/>
      <c r="F196" s="1436">
        <f>Text!$AQ$27</f>
        <v>122</v>
      </c>
      <c r="G196" s="1746" t="str">
        <f>Text!$AR$27</f>
        <v>Hindernisfreies Bauen</v>
      </c>
      <c r="H196" s="1747"/>
      <c r="I196" s="1747"/>
      <c r="J196" s="1747"/>
      <c r="K196" s="1748"/>
      <c r="N196" s="1421"/>
      <c r="P196" s="1421"/>
      <c r="Q196" s="1421"/>
      <c r="T196" s="1421"/>
      <c r="U196" s="1421"/>
      <c r="V196" s="1421"/>
      <c r="W196"/>
      <c r="X196"/>
      <c r="Y196"/>
    </row>
    <row r="197" spans="1:25" ht="12" hidden="1" customHeight="1" thickTop="1" thickBot="1">
      <c r="B197" s="1723"/>
      <c r="D197" s="1720"/>
      <c r="E197" s="1430"/>
      <c r="F197" s="1"/>
      <c r="G197" s="1"/>
      <c r="H197" s="1"/>
      <c r="I197" s="1"/>
      <c r="J197" s="240"/>
      <c r="N197" s="1"/>
      <c r="O197" s="1"/>
      <c r="P197"/>
      <c r="Q197"/>
      <c r="R197"/>
      <c r="S197"/>
      <c r="T197"/>
      <c r="U197"/>
      <c r="V197"/>
      <c r="W197"/>
      <c r="X197"/>
      <c r="Y197"/>
    </row>
    <row r="198" spans="1:25" ht="15" hidden="1" customHeight="1" thickTop="1">
      <c r="D198" s="1"/>
      <c r="E198" s="1"/>
      <c r="F198" s="1"/>
      <c r="G198" s="1"/>
      <c r="H198" s="1"/>
      <c r="I198" s="1"/>
      <c r="J198" s="1"/>
      <c r="N198" s="1"/>
      <c r="O198" s="1"/>
      <c r="P198" s="1"/>
      <c r="Q198" s="1"/>
      <c r="R198" s="1"/>
      <c r="S198" s="1"/>
      <c r="T198" s="1"/>
      <c r="U198" s="1"/>
      <c r="V198" s="1"/>
      <c r="W198" s="1"/>
      <c r="X198" s="1"/>
      <c r="Y198" s="1"/>
    </row>
    <row r="199" spans="1:25" ht="22" hidden="1" customHeight="1">
      <c r="D199" s="1" t="str">
        <f>Text!C387</f>
        <v>Im obigen Beispiel werden die folgenden Informationen angezeigt:</v>
      </c>
      <c r="E199" s="1"/>
      <c r="G199" s="1"/>
      <c r="H199" s="1"/>
      <c r="I199" s="1"/>
      <c r="J199" s="1"/>
      <c r="K199" s="1"/>
      <c r="L199" s="1"/>
      <c r="M199" s="1"/>
      <c r="N199" s="1"/>
      <c r="O199" s="1"/>
      <c r="P199" s="1"/>
      <c r="Q199" s="1"/>
      <c r="R199" s="1"/>
      <c r="S199" s="1"/>
      <c r="T199" s="1"/>
      <c r="U199" s="1"/>
      <c r="V199" s="1"/>
      <c r="W199" s="1"/>
      <c r="X199" s="1"/>
      <c r="Y199" s="1"/>
    </row>
    <row r="200" spans="1:25" ht="15" hidden="1" customHeight="1">
      <c r="D200" s="1767" t="str">
        <f>Text!C388</f>
        <v>Beim Thema ''Qualität der Entwicklung'' ist die Bewertung knapp genügend. Die Kriterien sollten einzeln untersucht werden.</v>
      </c>
      <c r="E200" s="1767"/>
      <c r="F200" s="1767"/>
      <c r="G200" s="1767"/>
      <c r="H200" s="1767"/>
      <c r="I200" s="1767"/>
      <c r="J200" s="1767"/>
      <c r="K200" s="1767"/>
      <c r="L200" s="1767"/>
      <c r="M200" s="1767"/>
      <c r="N200" s="1767"/>
      <c r="O200" s="1767"/>
      <c r="P200" s="1767"/>
      <c r="Q200" s="1767"/>
      <c r="R200" s="1767"/>
      <c r="S200" s="1767"/>
      <c r="T200" s="1767"/>
      <c r="U200" s="1767"/>
      <c r="V200" s="1767"/>
      <c r="W200" s="1767"/>
      <c r="X200" s="1767"/>
      <c r="Y200" s="1767"/>
    </row>
    <row r="201" spans="1:25" ht="13.4" hidden="1" customHeight="1">
      <c r="D201" s="1750" t="str">
        <f>Text!C389</f>
        <v>Beim Thema'' Angebot &amp; Erreichbarkeit'' zeichnet sich für das Projekt eine besonders gute Bewertung ab.</v>
      </c>
      <c r="E201" s="1750"/>
      <c r="F201" s="1750"/>
      <c r="G201" s="1750"/>
      <c r="H201" s="1750"/>
      <c r="I201" s="1750"/>
      <c r="J201" s="1750"/>
      <c r="K201" s="1750"/>
      <c r="L201" s="1750"/>
      <c r="M201" s="1750"/>
      <c r="N201" s="1750"/>
      <c r="O201" s="1750"/>
      <c r="P201" s="1750"/>
      <c r="Q201" s="1750"/>
      <c r="R201" s="1750"/>
      <c r="S201" s="1750"/>
      <c r="T201" s="1750"/>
      <c r="U201" s="1750"/>
      <c r="V201" s="1750"/>
      <c r="W201" s="1750"/>
      <c r="X201" s="1750"/>
      <c r="Y201" s="1750"/>
    </row>
    <row r="202" spans="1:25" ht="29.15" hidden="1" customHeight="1">
      <c r="D202" s="1767" t="str">
        <f>Text!C390</f>
        <v>Die Kriterien ''Städtebau &amp; Architektur'' und ''Erreichbarkeit &amp; Nutzungsangebot im Quartierumfeld'' werden mit einem Nachhaltigkeitsgrad von mindestens 85 % bewertet und sollten somit beim Bauvorhaben voraussichtlich unproblematisch sein.</v>
      </c>
      <c r="E202" s="1767"/>
      <c r="F202" s="1767"/>
      <c r="G202" s="1767"/>
      <c r="H202" s="1767"/>
      <c r="I202" s="1767"/>
      <c r="J202" s="1767"/>
      <c r="K202" s="1767"/>
      <c r="L202" s="1767"/>
      <c r="M202" s="1767"/>
      <c r="N202" s="1767"/>
      <c r="O202" s="1767"/>
      <c r="P202" s="1767"/>
      <c r="Q202" s="1767"/>
      <c r="R202" s="1767"/>
      <c r="S202" s="1767"/>
      <c r="T202" s="1767"/>
      <c r="U202" s="1767"/>
      <c r="V202" s="1767"/>
      <c r="W202" s="1767"/>
      <c r="X202" s="1767"/>
      <c r="Y202" s="1767"/>
    </row>
    <row r="203" spans="1:25" ht="13.4" hidden="1" customHeight="1">
      <c r="D203" s="1" t="str">
        <f>Text!C391</f>
        <v>Die Kriterien ''Ziele &amp; Pflichtenhefte'' und ''Hindernisfreies Bauen'' weisen einen tieferen Nachhaltigkeitsgrad auf, bleiben in der Bewertung jedoch ''genügend''.</v>
      </c>
      <c r="E203" s="1"/>
      <c r="G203" s="1"/>
      <c r="H203" s="1"/>
      <c r="I203" s="1"/>
      <c r="J203" s="1"/>
      <c r="K203" s="1"/>
      <c r="L203" s="1"/>
      <c r="M203" s="1"/>
      <c r="N203" s="1"/>
      <c r="O203" s="1"/>
      <c r="P203" s="1"/>
      <c r="Q203" s="1"/>
      <c r="R203" s="1"/>
      <c r="S203" s="1"/>
      <c r="T203" s="1"/>
      <c r="U203" s="1"/>
      <c r="V203" s="1"/>
      <c r="W203" s="1"/>
      <c r="X203" s="1"/>
      <c r="Y203" s="1"/>
    </row>
    <row r="204" spans="1:25" ht="13.4" hidden="1" customHeight="1">
      <c r="D204" s="1" t="str">
        <f>Text!C392</f>
        <v>Das Kriterium ''Partizipation'' erhält hingegen eine Bewertung unter 50 % und kann daher ein Stolperstein im Hinblick auf die Realisierung eines gesamtheitlich nachhaltigen Projekts darstellen.</v>
      </c>
      <c r="E204" s="1"/>
      <c r="G204" s="1"/>
      <c r="H204" s="1"/>
      <c r="I204" s="1"/>
      <c r="J204" s="1"/>
      <c r="K204" s="1"/>
      <c r="L204" s="1"/>
      <c r="M204" s="1"/>
      <c r="N204" s="1"/>
      <c r="O204" s="1"/>
      <c r="P204" s="1"/>
      <c r="Q204" s="1"/>
      <c r="R204" s="1"/>
      <c r="S204" s="1"/>
      <c r="T204" s="1"/>
      <c r="U204" s="1"/>
      <c r="V204" s="1"/>
      <c r="W204" s="1"/>
      <c r="X204" s="1"/>
      <c r="Y204" s="1"/>
    </row>
    <row r="205" spans="1:25" s="90" customFormat="1" ht="20.149999999999999" hidden="1" customHeight="1">
      <c r="C205" s="48"/>
      <c r="W205" s="48"/>
      <c r="X205" s="48"/>
      <c r="Y205" s="48"/>
    </row>
    <row r="206" spans="1:25" s="90" customFormat="1" ht="19.5" hidden="1" customHeight="1">
      <c r="C206" s="48"/>
      <c r="D206" s="88" t="str">
        <f>Text!C330</f>
        <v>Zurück</v>
      </c>
      <c r="E206" s="48"/>
      <c r="H206" s="199"/>
      <c r="I206" s="199"/>
      <c r="J206" s="199"/>
      <c r="K206" s="199"/>
      <c r="L206" s="199"/>
      <c r="M206" s="199"/>
      <c r="N206" s="199"/>
      <c r="O206" s="199"/>
      <c r="P206" s="199"/>
      <c r="Q206" s="200"/>
      <c r="R206" s="48"/>
      <c r="S206" s="48"/>
      <c r="T206" s="48"/>
      <c r="U206" s="89"/>
      <c r="V206" s="89"/>
      <c r="W206" s="48"/>
      <c r="X206" s="48"/>
      <c r="Y206" s="89" t="str">
        <f>Text!C331</f>
        <v>Weiter</v>
      </c>
    </row>
    <row r="207" spans="1:25" s="90" customFormat="1" ht="20.149999999999999" hidden="1" customHeight="1">
      <c r="C207" s="48"/>
      <c r="D207" s="48"/>
      <c r="E207" s="48"/>
      <c r="V207" s="48"/>
      <c r="W207" s="48"/>
      <c r="X207" s="48"/>
    </row>
    <row r="208" spans="1:25" s="90" customFormat="1" ht="20.149999999999999" hidden="1" customHeight="1">
      <c r="A208" s="82"/>
      <c r="B208" s="82"/>
      <c r="C208" s="1"/>
      <c r="D208" s="1"/>
      <c r="E208" s="1"/>
      <c r="F208" s="1729" t="str">
        <f>Text!C393</f>
        <v>SNBS-Zertifizierungen</v>
      </c>
      <c r="G208" s="1729"/>
      <c r="H208" s="1729"/>
      <c r="I208" s="1729"/>
      <c r="J208" s="1729"/>
      <c r="K208" s="1729"/>
      <c r="L208" s="1729"/>
      <c r="M208" s="1729"/>
      <c r="N208" s="1729"/>
      <c r="O208" s="1729"/>
      <c r="P208" s="1729"/>
      <c r="Q208" s="1729"/>
      <c r="R208" s="1729"/>
      <c r="S208" s="1729"/>
      <c r="T208" s="1729"/>
      <c r="U208" s="1729"/>
      <c r="V208" s="1729"/>
      <c r="W208" s="1"/>
      <c r="X208" s="1"/>
    </row>
    <row r="209" spans="1:25" s="90" customFormat="1" ht="20.149999999999999" hidden="1" customHeight="1">
      <c r="A209" s="82"/>
      <c r="B209" s="82"/>
      <c r="C209" s="1"/>
      <c r="D209" s="1"/>
      <c r="E209" s="1"/>
      <c r="F209" s="82"/>
      <c r="G209" s="82"/>
      <c r="H209" s="82"/>
      <c r="I209" s="82"/>
      <c r="J209" s="82"/>
      <c r="K209" s="82"/>
      <c r="L209" s="82"/>
      <c r="M209" s="82"/>
      <c r="N209" s="82"/>
      <c r="O209" s="82"/>
      <c r="P209" s="82"/>
      <c r="Q209" s="82"/>
      <c r="R209" s="82"/>
      <c r="S209" s="82"/>
      <c r="T209" s="82"/>
      <c r="U209" s="82"/>
      <c r="V209" s="1"/>
      <c r="W209" s="1"/>
      <c r="X209" s="1"/>
    </row>
    <row r="210" spans="1:25" s="462" customFormat="1" ht="45" hidden="1" customHeight="1">
      <c r="A210" s="475"/>
      <c r="B210" s="475"/>
      <c r="C210" s="13"/>
      <c r="D210" s="1767" t="str">
        <f>Text!C394&amp;" https://www.snbs-hochbau.ch/zertifizierung/snbs-hochbau/ablauf/"</f>
        <v>Der Pre-Check liefert Hinweise zum Nachhaltigkeitsgrad von Projekten, aufgrund des Genauigkeitsgrads können damit keine abschliessenden Rückschlüsse im Hinblick auf SNBS-Zertifizierungen gezogen werden. Die Zertifizierung gliedert sich in zwei Prüfrunden und verläuft gemäss folgendem Prozess: https://www.snbs-hochbau.ch/zertifizierung/snbs-hochbau/ablauf/</v>
      </c>
      <c r="E210" s="1767"/>
      <c r="F210" s="1767"/>
      <c r="G210" s="1767"/>
      <c r="H210" s="1767"/>
      <c r="I210" s="1767"/>
      <c r="J210" s="1767"/>
      <c r="K210" s="1767"/>
      <c r="L210" s="1767"/>
      <c r="M210" s="1767"/>
      <c r="N210" s="1767"/>
      <c r="O210" s="1767"/>
      <c r="P210" s="1767"/>
      <c r="Q210" s="1767"/>
      <c r="R210" s="1767"/>
      <c r="S210" s="1767"/>
      <c r="T210" s="1767"/>
      <c r="U210" s="1767"/>
      <c r="V210" s="1767"/>
      <c r="W210" s="1767"/>
      <c r="X210" s="1767"/>
      <c r="Y210" s="1767"/>
    </row>
    <row r="211" spans="1:25" s="462" customFormat="1" ht="45" hidden="1" customHeight="1">
      <c r="A211" s="475"/>
      <c r="B211" s="475"/>
      <c r="C211" s="13"/>
      <c r="D211" s="1767" t="str">
        <f>Text!C395</f>
        <v>Zertifizierbar ist der Neubau oder die Erneuerung von Gebäuden der Kategorien ''Wohnen'', ''Verwaltung/Büro'', ''Bildungsbauten'' und ''Gewerbenutzung im Erdgeschoss''. Objekte mit Erdgeschossnutzungen und anderen Nutzungen können ebenfalls zertifiziert werden, wenn diese weiteren Nutzungen nicht mehr als 20 % der Energiebezugsfläche in Anspruch nehmen.</v>
      </c>
      <c r="E211" s="1767"/>
      <c r="F211" s="1767"/>
      <c r="G211" s="1767"/>
      <c r="H211" s="1767"/>
      <c r="I211" s="1767"/>
      <c r="J211" s="1767"/>
      <c r="K211" s="1767"/>
      <c r="L211" s="1767"/>
      <c r="M211" s="1767"/>
      <c r="N211" s="1767"/>
      <c r="O211" s="1767"/>
      <c r="P211" s="1767"/>
      <c r="Q211" s="1767"/>
      <c r="R211" s="1767"/>
      <c r="S211" s="1767"/>
      <c r="T211" s="1767"/>
      <c r="U211" s="1767"/>
      <c r="V211" s="1767"/>
      <c r="W211" s="1767"/>
      <c r="X211" s="1767"/>
      <c r="Y211" s="1767"/>
    </row>
    <row r="212" spans="1:25" s="462" customFormat="1" ht="45" hidden="1" customHeight="1">
      <c r="A212" s="475"/>
      <c r="B212" s="475"/>
      <c r="C212" s="13"/>
      <c r="D212" s="1767" t="str">
        <f>Text!C396</f>
        <v>Im Rahmen der Zertifizierung wird jedes der 35 Kriterien mit einer Note von 1 bis 6 bewertet. Die Gesamtnote für ein Projekt entspricht dem arithmetischen Mittel aller Kriterien. Teilnoten werden für die drei Bereiche ''Gesellschaft'', ''Wirtschaft'' und ''Umwelt'' ausgewiesen, sind aber rein informativ. Folgende Auszeichnungen können erreicht werden: ''Platin'' (bei einer Gesamtnote zwischen 5.5 und 6), ''Gold'' (5 bis 5.4) und ''Silber'' (4 bis 4.9).</v>
      </c>
      <c r="E212" s="1767"/>
      <c r="F212" s="1767"/>
      <c r="G212" s="1767"/>
      <c r="H212" s="1767"/>
      <c r="I212" s="1767"/>
      <c r="J212" s="1767"/>
      <c r="K212" s="1767"/>
      <c r="L212" s="1767"/>
      <c r="M212" s="1767"/>
      <c r="N212" s="1767"/>
      <c r="O212" s="1767"/>
      <c r="P212" s="1767"/>
      <c r="Q212" s="1767"/>
      <c r="R212" s="1767"/>
      <c r="S212" s="1767"/>
      <c r="T212" s="1767"/>
      <c r="U212" s="1767"/>
      <c r="V212" s="1767"/>
      <c r="W212" s="1767"/>
      <c r="X212" s="1767"/>
      <c r="Y212" s="1767"/>
    </row>
    <row r="213" spans="1:25" s="462" customFormat="1" ht="45" hidden="1" customHeight="1">
      <c r="A213" s="475"/>
      <c r="B213" s="475"/>
      <c r="C213" s="13"/>
      <c r="D213" s="1767" t="str">
        <f>Text!C397</f>
        <v>Pro Bereich (Gesellschaft, Wirtschaft und Umwelt) darf bei Neubauten maximal ein Kriterium ungenügend sein. Mit bis zu zwei ungenügenden Noten kann jedoch bestenfalls die Stufe ''Gold'' erreicht werden, mit drei ungenügenden Noten nur noch die Stufe ''Silber''. Die Stufe "Platin" kann mit ungenügenden Noten nicht erreicht werden.</v>
      </c>
      <c r="E213" s="1767"/>
      <c r="F213" s="1767"/>
      <c r="G213" s="1767"/>
      <c r="H213" s="1767"/>
      <c r="I213" s="1767"/>
      <c r="J213" s="1767"/>
      <c r="K213" s="1767"/>
      <c r="L213" s="1767"/>
      <c r="M213" s="1767"/>
      <c r="N213" s="1767"/>
      <c r="O213" s="1767"/>
      <c r="P213" s="1767"/>
      <c r="Q213" s="1767"/>
      <c r="R213" s="1767"/>
      <c r="S213" s="1767"/>
      <c r="T213" s="1767"/>
      <c r="U213" s="1767"/>
      <c r="V213" s="1767"/>
      <c r="W213" s="1767"/>
      <c r="X213" s="1767"/>
      <c r="Y213" s="1767"/>
    </row>
    <row r="214" spans="1:25" s="462" customFormat="1" ht="30" hidden="1" customHeight="1">
      <c r="A214" s="475"/>
      <c r="B214" s="475"/>
      <c r="C214" s="13"/>
      <c r="D214" s="1767" t="str">
        <f>Text!C398</f>
        <v>Für eine Zertifizierung auf Stufe Gold oder Platin muss das Kriterium 112 ''Städtebau &amp; Architektur'' zwingend genügend sein (Note gleich oder höher als 4).</v>
      </c>
      <c r="E214" s="1767"/>
      <c r="F214" s="1767"/>
      <c r="G214" s="1767"/>
      <c r="H214" s="1767"/>
      <c r="I214" s="1767"/>
      <c r="J214" s="1767"/>
      <c r="K214" s="1767"/>
      <c r="L214" s="1767"/>
      <c r="M214" s="1767"/>
      <c r="N214" s="1767"/>
      <c r="O214" s="1767"/>
      <c r="P214" s="1767"/>
      <c r="Q214" s="1767"/>
      <c r="R214" s="1767"/>
      <c r="S214" s="1767"/>
      <c r="T214" s="1767"/>
      <c r="U214" s="1767"/>
      <c r="V214" s="1767"/>
      <c r="W214" s="1767"/>
      <c r="X214" s="1767"/>
      <c r="Y214" s="1767"/>
    </row>
    <row r="215" spans="1:25" s="90" customFormat="1" ht="20.149999999999999" hidden="1" customHeight="1">
      <c r="C215" s="48"/>
      <c r="D215" s="48"/>
      <c r="E215" s="48"/>
      <c r="V215" s="48"/>
      <c r="W215" s="48"/>
      <c r="X215" s="48"/>
    </row>
    <row r="216" spans="1:25" s="90" customFormat="1" ht="20.149999999999999" hidden="1" customHeight="1">
      <c r="C216" s="48"/>
      <c r="D216" s="88" t="str">
        <f>Text!C330</f>
        <v>Zurück</v>
      </c>
      <c r="E216" s="48"/>
      <c r="V216" s="89"/>
      <c r="W216" s="48"/>
      <c r="X216" s="48"/>
      <c r="Y216" s="89" t="str">
        <f>Text!C331</f>
        <v>Weiter</v>
      </c>
    </row>
    <row r="217" spans="1:25" s="90" customFormat="1" ht="20.149999999999999" hidden="1" customHeight="1">
      <c r="C217" s="48"/>
      <c r="E217" s="48"/>
      <c r="V217" s="48"/>
      <c r="W217" s="48"/>
      <c r="X217" s="48"/>
    </row>
    <row r="218" spans="1:25" ht="20.149999999999999" hidden="1" customHeight="1">
      <c r="D218" s="1"/>
      <c r="E218" s="1"/>
      <c r="F218" s="1729" t="str">
        <f>Text!C399</f>
        <v>Bei Erneuerung</v>
      </c>
      <c r="G218" s="1729"/>
      <c r="H218" s="1729"/>
      <c r="I218" s="1729"/>
      <c r="J218" s="1729"/>
      <c r="K218" s="1729"/>
      <c r="L218" s="1729"/>
      <c r="M218" s="1729"/>
      <c r="N218" s="1729"/>
      <c r="O218" s="1729"/>
      <c r="P218" s="1729"/>
      <c r="Q218" s="1729"/>
      <c r="R218" s="1729"/>
      <c r="S218" s="1729"/>
      <c r="T218" s="1729"/>
      <c r="U218" s="1729"/>
      <c r="V218" s="1729"/>
      <c r="W218" s="1"/>
      <c r="X218" s="1"/>
    </row>
    <row r="219" spans="1:25" ht="20.149999999999999" hidden="1" customHeight="1">
      <c r="E219" s="13"/>
      <c r="F219" s="13"/>
      <c r="G219" s="13"/>
      <c r="H219" s="13"/>
      <c r="I219" s="13"/>
      <c r="J219" s="13"/>
      <c r="K219" s="13"/>
      <c r="L219" s="13"/>
      <c r="M219" s="13"/>
      <c r="N219" s="13"/>
      <c r="O219" s="13"/>
      <c r="P219" s="13"/>
      <c r="Q219" s="13"/>
      <c r="R219" s="13"/>
      <c r="S219" s="13"/>
      <c r="T219" s="13"/>
      <c r="U219" s="13"/>
      <c r="V219" s="13"/>
      <c r="W219" s="13"/>
      <c r="X219" s="13"/>
    </row>
    <row r="220" spans="1:25" ht="30" hidden="1" customHeight="1">
      <c r="D220" s="1728" t="str">
        <f>Text!C400</f>
        <v>Grundsätzlich werden Erneuerungen gleich wie Neubauten bewertet und es gelten dieselben Anforderungen. Auf Grund von strukturellen oder konstruktiven Gegebenheiten sind bei folgenden Kriterien zusätzliche ungenügende Bewertungen zulässig:</v>
      </c>
      <c r="E220" s="1728"/>
      <c r="F220" s="1728"/>
      <c r="G220" s="1728"/>
      <c r="H220" s="1728"/>
      <c r="I220" s="1728"/>
      <c r="J220" s="1728"/>
      <c r="K220" s="1728"/>
      <c r="L220" s="1728"/>
      <c r="M220" s="1728"/>
      <c r="N220" s="1728"/>
      <c r="O220" s="1728"/>
      <c r="P220" s="1728"/>
      <c r="Q220" s="1728"/>
      <c r="R220" s="1728"/>
      <c r="S220" s="1728"/>
      <c r="T220" s="1728"/>
      <c r="U220" s="1728"/>
      <c r="V220" s="1728"/>
      <c r="W220" s="1728"/>
      <c r="X220" s="1728"/>
      <c r="Y220" s="1728"/>
    </row>
    <row r="221" spans="1:25" ht="15" hidden="1" customHeight="1">
      <c r="D221" s="124"/>
      <c r="E221" s="124"/>
      <c r="F221" s="124"/>
      <c r="G221" s="124"/>
      <c r="H221" s="124"/>
      <c r="I221" s="124"/>
      <c r="J221" s="124"/>
      <c r="K221" s="124"/>
      <c r="L221" s="124"/>
      <c r="M221" s="124"/>
      <c r="N221" s="124"/>
      <c r="O221" s="124"/>
      <c r="P221" s="124"/>
      <c r="Q221" s="124"/>
      <c r="R221" s="124"/>
      <c r="S221" s="124"/>
      <c r="T221" s="124"/>
      <c r="U221" s="124"/>
      <c r="V221" s="124"/>
      <c r="W221" s="1"/>
      <c r="X221" s="1"/>
    </row>
    <row r="222" spans="1:25" ht="15" hidden="1" customHeight="1">
      <c r="E222" s="1"/>
      <c r="K222"/>
      <c r="L222" s="1"/>
      <c r="M222" s="1"/>
      <c r="N222" s="1"/>
      <c r="O222" s="1"/>
      <c r="P222" s="1"/>
      <c r="Q222" s="1"/>
      <c r="R222" s="1"/>
      <c r="S222" s="1"/>
      <c r="T222" s="1"/>
      <c r="U222" s="1"/>
      <c r="V222" s="1"/>
      <c r="W222" s="1"/>
      <c r="X222" s="1"/>
    </row>
    <row r="223" spans="1:25" ht="2.15" hidden="1" customHeight="1">
      <c r="E223" s="1"/>
      <c r="K223"/>
      <c r="L223" s="1"/>
      <c r="M223" s="1"/>
      <c r="N223" s="1"/>
      <c r="O223" s="1"/>
      <c r="P223" s="1"/>
      <c r="Q223" s="1"/>
      <c r="R223" s="1"/>
      <c r="S223" s="1"/>
      <c r="T223" s="1"/>
      <c r="U223" s="1"/>
      <c r="V223" s="1"/>
      <c r="W223" s="1"/>
      <c r="X223" s="1"/>
    </row>
    <row r="224" spans="1:25" ht="15" hidden="1" customHeight="1">
      <c r="E224" s="1"/>
      <c r="K224"/>
      <c r="L224" s="1"/>
      <c r="M224" s="1"/>
      <c r="N224" s="1"/>
      <c r="O224" s="1"/>
      <c r="P224" s="1"/>
      <c r="Q224" s="1"/>
      <c r="R224" s="1"/>
      <c r="S224" s="1"/>
      <c r="T224" s="1"/>
      <c r="U224" s="1"/>
      <c r="V224" s="1"/>
      <c r="W224" s="1"/>
      <c r="X224" s="1"/>
    </row>
    <row r="225" spans="3:25" ht="2.15" hidden="1" customHeight="1">
      <c r="E225" s="1"/>
      <c r="K225"/>
      <c r="L225" s="1"/>
      <c r="M225" s="1"/>
      <c r="N225" s="1"/>
      <c r="O225" s="1"/>
      <c r="P225" s="1"/>
      <c r="Q225" s="1"/>
      <c r="R225" s="1"/>
      <c r="S225" s="1"/>
      <c r="T225" s="1"/>
      <c r="U225" s="1"/>
      <c r="V225" s="1"/>
      <c r="W225" s="1"/>
      <c r="X225" s="1"/>
    </row>
    <row r="226" spans="3:25" ht="15" hidden="1" customHeight="1">
      <c r="E226" s="1"/>
      <c r="F226" s="1466">
        <f>Text!$AQ$34</f>
        <v>145</v>
      </c>
      <c r="G226" s="1776" t="str">
        <f>Text!$AR$34</f>
        <v>Winterlicher Wärmeschutz</v>
      </c>
      <c r="H226" s="1777"/>
      <c r="I226" s="1777"/>
      <c r="J226" s="1777"/>
      <c r="K226"/>
      <c r="L226" s="1"/>
      <c r="M226" s="1"/>
      <c r="N226" s="1"/>
      <c r="O226" s="1"/>
      <c r="P226" s="1"/>
      <c r="Q226" s="1"/>
      <c r="R226" s="1"/>
      <c r="S226" s="1"/>
      <c r="T226" s="1"/>
      <c r="U226" s="1"/>
      <c r="V226" s="1"/>
      <c r="W226" s="1"/>
      <c r="X226" s="1"/>
    </row>
    <row r="227" spans="3:25" ht="2.15" hidden="1" customHeight="1">
      <c r="E227" s="1"/>
      <c r="F227" s="1"/>
      <c r="G227" s="1"/>
      <c r="I227" s="1"/>
      <c r="J227" s="1"/>
      <c r="K227"/>
      <c r="L227" s="1"/>
      <c r="M227" s="1"/>
      <c r="N227" s="1"/>
      <c r="O227" s="1"/>
      <c r="P227" s="1"/>
      <c r="Q227" s="1"/>
      <c r="R227" s="1"/>
      <c r="S227" s="1"/>
      <c r="T227" s="1"/>
      <c r="U227" s="1"/>
      <c r="V227" s="1"/>
      <c r="W227" s="1"/>
      <c r="X227" s="1"/>
    </row>
    <row r="228" spans="3:25" ht="15" hidden="1" customHeight="1">
      <c r="E228" s="1"/>
      <c r="F228" s="1466">
        <f>Text!$AQ$36</f>
        <v>147</v>
      </c>
      <c r="G228" s="1776" t="str">
        <f>Text!$AR$36</f>
        <v>Schallschutz</v>
      </c>
      <c r="H228" s="1777"/>
      <c r="I228" s="1777"/>
      <c r="J228" s="1777"/>
      <c r="K228"/>
      <c r="L228" s="1"/>
      <c r="M228" s="1"/>
      <c r="N228" s="1"/>
      <c r="O228" s="1"/>
      <c r="P228" s="1"/>
      <c r="Q228" s="1"/>
      <c r="R228" s="1"/>
      <c r="S228" s="1"/>
      <c r="T228" s="1"/>
      <c r="U228" s="1"/>
      <c r="V228" s="1"/>
      <c r="W228" s="1"/>
      <c r="X228" s="1"/>
    </row>
    <row r="229" spans="3:25" ht="2.15" hidden="1" customHeight="1">
      <c r="E229" s="1"/>
      <c r="F229" s="1467"/>
      <c r="G229" s="1468"/>
      <c r="H229" s="1469"/>
      <c r="I229" s="1468"/>
      <c r="J229" s="1470"/>
      <c r="K229"/>
      <c r="L229" s="1"/>
      <c r="M229" s="1"/>
      <c r="N229" s="1"/>
      <c r="O229" s="1"/>
      <c r="P229" s="1"/>
      <c r="Q229" s="1"/>
      <c r="R229" s="1"/>
      <c r="S229" s="1"/>
      <c r="T229" s="1"/>
      <c r="U229" s="1"/>
      <c r="V229" s="1"/>
      <c r="W229" s="1"/>
      <c r="X229" s="1"/>
    </row>
    <row r="230" spans="3:25" ht="15" hidden="1" customHeight="1">
      <c r="E230" s="1"/>
      <c r="F230" s="1466">
        <f>Text!$AQ$42</f>
        <v>222</v>
      </c>
      <c r="G230" s="1778" t="str">
        <f>Text!$AR$42</f>
        <v>Nutzungsdichte</v>
      </c>
      <c r="H230" s="1779"/>
      <c r="I230" s="1779"/>
      <c r="J230" s="1779"/>
      <c r="K230"/>
      <c r="L230" s="1"/>
      <c r="M230" s="1"/>
      <c r="N230" s="1"/>
      <c r="O230" s="1"/>
      <c r="P230" s="1"/>
      <c r="Q230" s="1"/>
      <c r="R230" s="1"/>
      <c r="S230" s="1"/>
      <c r="T230" s="1"/>
      <c r="U230" s="1"/>
      <c r="V230" s="1"/>
      <c r="W230" s="1"/>
      <c r="X230" s="1"/>
    </row>
    <row r="231" spans="3:25" ht="2.15" hidden="1" customHeight="1">
      <c r="E231" s="1"/>
      <c r="F231" s="1467"/>
      <c r="G231" s="1468"/>
      <c r="H231" s="1469"/>
      <c r="I231" s="1468"/>
      <c r="J231" s="1470"/>
      <c r="K231"/>
      <c r="L231" s="1"/>
      <c r="M231" s="1"/>
      <c r="N231" s="1"/>
      <c r="O231" s="1"/>
      <c r="P231" s="1"/>
      <c r="Q231" s="1"/>
      <c r="R231" s="1"/>
      <c r="S231" s="1"/>
      <c r="T231" s="1"/>
      <c r="U231" s="1"/>
      <c r="V231" s="1"/>
      <c r="W231" s="1"/>
      <c r="X231" s="1"/>
    </row>
    <row r="232" spans="3:25" ht="15" hidden="1" customHeight="1">
      <c r="E232" s="1"/>
      <c r="F232" s="1466">
        <f>Text!$AQ$43</f>
        <v>223</v>
      </c>
      <c r="G232" s="1778" t="str">
        <f>Text!$AR$43</f>
        <v>Nutzungsflexibilität &amp; -variabilität</v>
      </c>
      <c r="H232" s="1779"/>
      <c r="I232" s="1779"/>
      <c r="J232" s="1779"/>
      <c r="K232"/>
      <c r="M232" s="1"/>
      <c r="N232" s="1"/>
      <c r="O232" s="1"/>
      <c r="P232" s="1"/>
      <c r="Q232" s="1"/>
      <c r="R232" s="1"/>
      <c r="S232" s="1"/>
      <c r="T232" s="1"/>
      <c r="U232" s="1"/>
      <c r="V232" s="1"/>
      <c r="W232" s="1"/>
      <c r="X232" s="1"/>
    </row>
    <row r="233" spans="3:25" ht="2.15" hidden="1" customHeight="1">
      <c r="E233" s="1"/>
      <c r="F233"/>
      <c r="G233"/>
      <c r="H233"/>
      <c r="I233"/>
      <c r="J233"/>
      <c r="K233"/>
      <c r="L233" s="1"/>
      <c r="M233" s="1"/>
      <c r="N233" s="1"/>
      <c r="O233" s="1"/>
      <c r="P233" s="1"/>
      <c r="Q233" s="1"/>
      <c r="R233" s="1"/>
      <c r="S233" s="1"/>
      <c r="T233" s="1"/>
      <c r="U233" s="1"/>
      <c r="V233" s="1"/>
      <c r="W233" s="1"/>
      <c r="X233" s="1"/>
    </row>
    <row r="234" spans="3:25" ht="28.5" hidden="1" customHeight="1">
      <c r="E234" s="1"/>
      <c r="F234"/>
      <c r="G234"/>
      <c r="H234"/>
      <c r="I234"/>
      <c r="J234"/>
      <c r="K234"/>
      <c r="L234" s="1"/>
      <c r="M234" s="1"/>
      <c r="N234" s="1"/>
      <c r="O234" s="1"/>
      <c r="P234" s="1"/>
      <c r="Q234" s="1"/>
      <c r="R234" s="1"/>
      <c r="S234" s="1"/>
      <c r="T234" s="1"/>
      <c r="U234" s="1"/>
      <c r="V234" s="1"/>
      <c r="W234" s="1"/>
      <c r="X234" s="1"/>
    </row>
    <row r="235" spans="3:25" ht="2.15" hidden="1" customHeight="1">
      <c r="E235" s="1"/>
      <c r="F235"/>
      <c r="G235"/>
      <c r="H235"/>
      <c r="I235"/>
      <c r="J235"/>
      <c r="K235"/>
      <c r="L235" s="1"/>
      <c r="M235" s="1"/>
      <c r="N235" s="1"/>
      <c r="O235" s="1"/>
      <c r="P235" s="1"/>
      <c r="Q235" s="1"/>
      <c r="R235" s="1"/>
      <c r="S235" s="1"/>
      <c r="T235" s="1"/>
      <c r="U235" s="1"/>
      <c r="V235" s="1"/>
      <c r="W235" s="1"/>
      <c r="X235" s="1"/>
    </row>
    <row r="236" spans="3:25" ht="2.15" hidden="1" customHeight="1">
      <c r="E236" s="1"/>
      <c r="F236"/>
      <c r="G236"/>
      <c r="H236"/>
      <c r="I236"/>
      <c r="J236"/>
      <c r="K236"/>
      <c r="L236" s="1"/>
      <c r="M236" s="1"/>
      <c r="N236" s="1"/>
      <c r="O236" s="1"/>
      <c r="P236" s="1"/>
      <c r="Q236" s="1"/>
      <c r="R236" s="1"/>
      <c r="S236" s="1"/>
      <c r="T236" s="1"/>
      <c r="U236" s="1"/>
      <c r="V236" s="1"/>
      <c r="W236" s="1"/>
      <c r="X236" s="1"/>
    </row>
    <row r="237" spans="3:25" ht="2.15" hidden="1" customHeight="1">
      <c r="E237" s="1"/>
      <c r="F237"/>
      <c r="G237"/>
      <c r="H237"/>
      <c r="I237"/>
      <c r="J237"/>
      <c r="K237"/>
      <c r="L237" s="1"/>
      <c r="M237" s="1"/>
      <c r="N237" s="1"/>
      <c r="O237" s="1"/>
      <c r="P237" s="1"/>
      <c r="Q237" s="1"/>
      <c r="R237" s="1"/>
      <c r="S237" s="1"/>
      <c r="T237" s="1"/>
      <c r="U237" s="1"/>
      <c r="V237" s="1"/>
      <c r="W237" s="1"/>
      <c r="X237" s="1"/>
    </row>
    <row r="238" spans="3:25" ht="45" hidden="1" customHeight="1">
      <c r="D238" s="1767" t="str">
        <f>Text!C402</f>
        <v>Allgemeine Hinweise: Sie können das Menü und die Kriterienliste oben jederzeit ein- oder ausblenden.
In der Hilfsspalte im rechten Bereich können werden Hilfswerkzeuge und interessante Links zu den einzelnen Kriterien angezeigt.
Wenn Sie nicht den gesamten Text einer Frage lesen können, versuchen Sie im Excel, die Zoomeinstellung des Fensters anzupassen.</v>
      </c>
      <c r="E238" s="1767"/>
      <c r="F238" s="1767"/>
      <c r="G238" s="1767"/>
      <c r="H238" s="1767"/>
      <c r="I238" s="1767"/>
      <c r="J238" s="1767"/>
      <c r="K238" s="1767"/>
      <c r="L238" s="1767"/>
      <c r="M238" s="1767"/>
      <c r="N238" s="1767"/>
      <c r="O238" s="1767"/>
      <c r="P238" s="1767"/>
      <c r="Q238" s="1767"/>
      <c r="R238" s="1767"/>
      <c r="S238" s="1767"/>
      <c r="T238" s="1767"/>
      <c r="U238" s="1767"/>
      <c r="V238" s="1767"/>
      <c r="W238" s="1767"/>
      <c r="X238" s="1767"/>
      <c r="Y238" s="1767"/>
    </row>
    <row r="239" spans="3:25" ht="15" hidden="1" customHeight="1">
      <c r="E239" s="1"/>
      <c r="F239" s="1"/>
      <c r="G239" s="1"/>
      <c r="H239"/>
      <c r="I239"/>
      <c r="J239"/>
      <c r="K239"/>
      <c r="L239" s="1"/>
      <c r="M239" s="1"/>
      <c r="N239" s="1"/>
      <c r="O239" s="1"/>
      <c r="P239" s="1"/>
      <c r="Q239" s="1"/>
      <c r="R239" s="1"/>
      <c r="S239" s="1"/>
      <c r="T239" s="1"/>
      <c r="U239" s="1"/>
      <c r="V239" s="1"/>
      <c r="W239" s="1"/>
      <c r="X239" s="1"/>
    </row>
    <row r="240" spans="3:25" s="90" customFormat="1" ht="20.149999999999999" hidden="1" customHeight="1">
      <c r="C240" s="48"/>
      <c r="W240" s="48"/>
      <c r="X240" s="48"/>
    </row>
    <row r="241" spans="1:25" s="90" customFormat="1" ht="20.149999999999999" hidden="1" customHeight="1">
      <c r="C241" s="48"/>
      <c r="D241" s="88" t="str">
        <f>Text!C330</f>
        <v>Zurück</v>
      </c>
      <c r="E241" s="48"/>
      <c r="F241" s="48"/>
      <c r="H241" s="199"/>
      <c r="I241" s="199"/>
      <c r="J241" s="199"/>
      <c r="K241" s="199"/>
      <c r="L241" s="199"/>
      <c r="M241" s="199"/>
      <c r="N241" s="199"/>
      <c r="O241" s="199"/>
      <c r="P241" s="199"/>
      <c r="Q241" s="199"/>
      <c r="R241" s="200"/>
      <c r="S241" s="48"/>
      <c r="T241" s="48"/>
      <c r="U241" s="48"/>
      <c r="V241" s="89"/>
      <c r="W241" s="48"/>
      <c r="X241" s="48"/>
      <c r="Y241" s="89" t="str">
        <f>Text!C331</f>
        <v>Weiter</v>
      </c>
    </row>
    <row r="242" spans="1:25" s="90" customFormat="1" ht="20.149999999999999" hidden="1" customHeight="1">
      <c r="C242" s="48"/>
      <c r="E242" s="48"/>
      <c r="V242" s="48"/>
      <c r="W242" s="48"/>
      <c r="X242" s="48"/>
    </row>
    <row r="243" spans="1:25" ht="20.149999999999999" hidden="1" customHeight="1">
      <c r="D243" s="1"/>
      <c r="E243" s="1"/>
      <c r="F243" s="1729" t="str">
        <f>Text!C403</f>
        <v>Klima-Check</v>
      </c>
      <c r="G243" s="1729"/>
      <c r="H243" s="1729"/>
      <c r="I243" s="1729"/>
      <c r="J243" s="1729"/>
      <c r="K243" s="1729"/>
      <c r="L243" s="1729"/>
      <c r="M243" s="1729"/>
      <c r="N243" s="1729"/>
      <c r="O243" s="1729"/>
      <c r="P243" s="1729"/>
      <c r="Q243" s="1729"/>
      <c r="R243" s="1729"/>
      <c r="S243" s="1729"/>
      <c r="T243" s="1729"/>
      <c r="U243" s="1729"/>
      <c r="V243" s="1729"/>
      <c r="W243" s="1"/>
      <c r="X243" s="1"/>
    </row>
    <row r="244" spans="1:25" ht="20.149999999999999" hidden="1" customHeight="1">
      <c r="E244" s="13"/>
      <c r="F244" s="13"/>
      <c r="G244" s="13"/>
      <c r="H244" s="13"/>
      <c r="I244" s="13"/>
      <c r="J244" s="13"/>
      <c r="K244" s="13"/>
      <c r="L244" s="13"/>
      <c r="M244" s="13"/>
      <c r="N244" s="13"/>
      <c r="O244" s="13"/>
      <c r="P244" s="13"/>
      <c r="Q244" s="13"/>
      <c r="R244" s="13"/>
      <c r="S244" s="13"/>
      <c r="T244" s="13"/>
      <c r="U244" s="13"/>
      <c r="V244" s="13"/>
      <c r="W244" s="13"/>
      <c r="X244" s="13"/>
    </row>
    <row r="245" spans="1:25" s="1" customFormat="1" ht="72" hidden="1" customHeight="1">
      <c r="A245" s="82"/>
      <c r="B245" s="82"/>
      <c r="D245" s="1795" t="str">
        <f>Text!C404</f>
        <v xml:space="preserve">Beim ''Klima-Check SNBS 2023.1 Hochbau'' handelt es sich um ein fakultativ anwendbares Zusatzmodul zum ''Pre-Check SNBS 2023.1 Hochbau''. Es ermittelt die Klimawandelgerechtigkeit eines Bauvorhabens. Das heisst, es ermittelt einerseits, inwiefern das untersuchte Gebäude auf das Klima der Zukunft vorbereitet ist (Klimaanpassung), und andererseits, ob es einen Beitrag zur Minderung des Klimawandels leistet (Klimaschutz). Die Fragenbeantwortung zum ''Klima-Check'' stützt auf die SNBS-Kriterienstruktur ab und erfolgt demnach parallel zur ''Pre-Check''-Abfrage. Es ist jedoch durchaus möglich, nur eines der beiden Module – ''Pre-Check'' oder ''Klima-Check'' – im vorliegenden Tool anzuwenden. </v>
      </c>
      <c r="E245" s="1795"/>
      <c r="F245" s="1795"/>
      <c r="G245" s="1795"/>
      <c r="H245" s="1795"/>
      <c r="I245" s="1795"/>
      <c r="J245" s="1795"/>
      <c r="K245" s="1795"/>
      <c r="L245" s="1795"/>
      <c r="M245" s="1795"/>
      <c r="N245" s="1795"/>
      <c r="O245" s="1795"/>
      <c r="P245" s="1795"/>
      <c r="Q245" s="1795"/>
      <c r="R245" s="1795"/>
      <c r="S245" s="1795"/>
      <c r="T245" s="1795"/>
      <c r="U245" s="1795"/>
      <c r="V245" s="1795"/>
      <c r="W245" s="1795"/>
      <c r="X245" s="1795"/>
      <c r="Y245" s="1795"/>
    </row>
    <row r="246" spans="1:25" s="1" customFormat="1" ht="58.5" hidden="1" customHeight="1">
      <c r="A246" s="82"/>
      <c r="B246" s="82"/>
      <c r="D246" s="1728" t="str">
        <f>Text!C405</f>
        <v>Das Klima der Zukunft wird sich erheblich vom heutigen unterscheiden. Die Forschung sagt u.a. einen deutlichen Temperaturanstieg, heftigere Niederschläge und eine Erhöhung der Naturgefahren voraus [CH 2018]*.  Gebäude, die heute geplant werden, sind während deren Lebenszeit auch dem Klima der Zukunft ausgesetzt. Demnach ist es wichtig, dass sie auch mit den künftigen Gegebenheiten unseren Ansprüchen genügen, z. B. bei höheren Sommertemperaturen den Behaglichkeitsanforderungen entsprechen.</v>
      </c>
      <c r="E246" s="1728"/>
      <c r="F246" s="1728"/>
      <c r="G246" s="1728"/>
      <c r="H246" s="1728"/>
      <c r="I246" s="1728"/>
      <c r="J246" s="1728"/>
      <c r="K246" s="1728"/>
      <c r="L246" s="1728"/>
      <c r="M246" s="1728"/>
      <c r="N246" s="1728"/>
      <c r="O246" s="1728"/>
      <c r="P246" s="1728"/>
      <c r="Q246" s="1728"/>
      <c r="R246" s="1728"/>
      <c r="S246" s="1728"/>
      <c r="T246" s="1728"/>
      <c r="U246" s="1728"/>
      <c r="V246" s="1728"/>
      <c r="W246" s="1728"/>
      <c r="X246" s="1728"/>
      <c r="Y246" s="1728"/>
    </row>
    <row r="247" spans="1:25" s="1" customFormat="1" ht="30" hidden="1" customHeight="1">
      <c r="A247" s="82"/>
      <c r="B247" s="82"/>
      <c r="D247" s="1728" t="str">
        <f>Text!C406</f>
        <v>Der «Klima-Check» ermöglicht eine thematische Annäherung an die Bedeutung der künftigen Klimaszenarien. Er liefert zudem konzeptionelle Denkanstösse in der frühen Projektierungsphase zur Optimierung des Gebäudeverhaltens über deren gesamten Lebenszyklus.</v>
      </c>
      <c r="E247" s="1728"/>
      <c r="F247" s="1728"/>
      <c r="G247" s="1728"/>
      <c r="H247" s="1728"/>
      <c r="I247" s="1728"/>
      <c r="J247" s="1728"/>
      <c r="K247" s="1728"/>
      <c r="L247" s="1728"/>
      <c r="M247" s="1728"/>
      <c r="N247" s="1728"/>
      <c r="O247" s="1728"/>
      <c r="P247" s="1728"/>
      <c r="Q247" s="1728"/>
      <c r="R247" s="1728"/>
      <c r="S247" s="1728"/>
      <c r="T247" s="1728"/>
      <c r="U247" s="1728"/>
      <c r="V247" s="1728"/>
      <c r="W247" s="1728"/>
      <c r="X247" s="1728"/>
      <c r="Y247" s="1728"/>
    </row>
    <row r="248" spans="1:25" s="1" customFormat="1" ht="15" hidden="1" customHeight="1">
      <c r="A248" s="82"/>
      <c r="B248" s="82"/>
      <c r="X248" s="460"/>
      <c r="Y248" s="460" t="str">
        <f>Text!C409</f>
        <v>* Link im Register Info.</v>
      </c>
    </row>
    <row r="249" spans="1:25" s="48" customFormat="1" ht="20.149999999999999" hidden="1" customHeight="1">
      <c r="A249" s="90"/>
      <c r="B249" s="90"/>
      <c r="X249" s="685"/>
    </row>
    <row r="250" spans="1:25" s="48" customFormat="1" ht="20.149999999999999" hidden="1" customHeight="1">
      <c r="A250" s="90"/>
      <c r="B250" s="90"/>
      <c r="D250" s="88" t="str">
        <f>Text!C330</f>
        <v>Zurück</v>
      </c>
      <c r="G250" s="90"/>
      <c r="H250" s="199"/>
      <c r="I250" s="199"/>
      <c r="J250" s="199"/>
      <c r="K250" s="199"/>
      <c r="L250" s="199"/>
      <c r="M250" s="199"/>
      <c r="N250" s="199"/>
      <c r="O250" s="688"/>
      <c r="P250" s="199"/>
      <c r="Q250" s="199"/>
      <c r="R250" s="200"/>
      <c r="V250" s="89"/>
      <c r="X250" s="685"/>
      <c r="Y250" s="89" t="str">
        <f>Text!C331</f>
        <v>Weiter</v>
      </c>
    </row>
    <row r="251" spans="1:25" s="48" customFormat="1" ht="20.149999999999999" hidden="1" customHeight="1">
      <c r="A251" s="90"/>
      <c r="B251" s="90"/>
      <c r="X251" s="685"/>
    </row>
    <row r="252" spans="1:25" s="1" customFormat="1" ht="20.149999999999999" hidden="1" customHeight="1">
      <c r="A252" s="82"/>
      <c r="B252" s="82"/>
      <c r="F252" s="1729" t="str">
        <f>Text!C410</f>
        <v>Struktur des Klima-Checks</v>
      </c>
      <c r="G252" s="1729"/>
      <c r="H252" s="1729"/>
      <c r="I252" s="1729"/>
      <c r="J252" s="1729"/>
      <c r="K252" s="1729"/>
      <c r="L252" s="1729"/>
      <c r="M252" s="1729"/>
      <c r="N252" s="1729"/>
      <c r="O252" s="1729"/>
      <c r="P252" s="1729"/>
      <c r="Q252" s="1729"/>
      <c r="R252" s="1729"/>
      <c r="S252" s="1729"/>
      <c r="T252" s="1729"/>
      <c r="U252" s="1729"/>
      <c r="V252" s="1729"/>
      <c r="X252" s="460"/>
    </row>
    <row r="253" spans="1:25" s="1" customFormat="1" ht="20.149999999999999" hidden="1" customHeight="1">
      <c r="A253" s="82"/>
      <c r="B253" s="82"/>
      <c r="X253" s="460"/>
    </row>
    <row r="254" spans="1:25" s="1" customFormat="1" ht="45" hidden="1" customHeight="1">
      <c r="A254" s="82"/>
      <c r="B254" s="82"/>
      <c r="D254" s="1728" t="str">
        <f>Text!C411</f>
        <v xml:space="preserve">Die Struktur des ''Klima-Checks'' basiert auf den SNBS-Kriterien. Einige dieser Kriterien werden als Transversalthemen zu Klimaschutz und Klimaanpassung unverändert übernommen. Zusätzlich werden neue klimarelevante Fragen gestellt. Kriterien, deren Ziele nicht direkt mit dem Klimawandel in Verbindung stehen, werden in der Auswertung des Klima-Check nicht berücksichtigt. 
Insgesamt werden im ''Klima-Check'' 36 klimarelevante Kriterien aus 10 Themen bewertet:  </v>
      </c>
      <c r="E254" s="1728"/>
      <c r="F254" s="1728"/>
      <c r="G254" s="1728"/>
      <c r="H254" s="1728"/>
      <c r="I254" s="1728"/>
      <c r="J254" s="1728"/>
      <c r="K254" s="1728"/>
      <c r="L254" s="1728"/>
      <c r="M254" s="1728"/>
      <c r="N254" s="1728"/>
      <c r="O254" s="1728"/>
      <c r="P254" s="1728"/>
      <c r="Q254" s="1728"/>
      <c r="R254" s="1728"/>
      <c r="S254" s="1728"/>
      <c r="T254" s="1728"/>
      <c r="U254" s="1728"/>
      <c r="V254" s="1728"/>
      <c r="W254" s="1728"/>
      <c r="X254" s="1728"/>
      <c r="Y254" s="1728"/>
    </row>
    <row r="255" spans="1:25" s="1" customFormat="1" ht="18.649999999999999" hidden="1" customHeight="1" thickBot="1">
      <c r="A255" s="82"/>
      <c r="B255" s="82"/>
      <c r="D255" s="125"/>
      <c r="E255" s="1504"/>
      <c r="F255" s="1730" t="str">
        <f>Text!C592</f>
        <v>Klimaanpassung</v>
      </c>
      <c r="G255" s="1730"/>
      <c r="H255" s="1730"/>
      <c r="I255" s="1730"/>
      <c r="J255" s="1730"/>
      <c r="K255" s="125"/>
      <c r="L255" s="125"/>
      <c r="M255" s="125"/>
      <c r="N255" s="1504"/>
      <c r="O255" s="1730" t="str">
        <f>Text!C591</f>
        <v>Klimaschutz</v>
      </c>
      <c r="P255" s="1730"/>
      <c r="Q255" s="1730"/>
      <c r="R255" s="1730"/>
      <c r="S255" s="1730"/>
      <c r="T255" s="125"/>
      <c r="U255" s="125"/>
      <c r="V255" s="125"/>
      <c r="W255" s="125"/>
      <c r="X255" s="125"/>
    </row>
    <row r="256" spans="1:25" s="1" customFormat="1" ht="15" hidden="1" customHeight="1" thickTop="1" thickBot="1">
      <c r="A256" s="82"/>
      <c r="B256" s="82"/>
      <c r="D256" s="1463"/>
      <c r="E256" s="125"/>
      <c r="F256" s="1337">
        <f>Text!$AQ$23</f>
        <v>111</v>
      </c>
      <c r="G256" s="1338" t="str">
        <f>Text!$AO$23</f>
        <v>Ziele &amp; Pflichtenhefte</v>
      </c>
      <c r="H256" s="1505"/>
      <c r="I256" s="1370">
        <f>Text!$AQ$33</f>
        <v>144</v>
      </c>
      <c r="J256" s="1338" t="str">
        <f>Text!$AO$33</f>
        <v>Sommerlicher Wärmeschutz</v>
      </c>
      <c r="K256" s="1465"/>
      <c r="L256" s="1465"/>
      <c r="M256" s="1505"/>
      <c r="N256" s="1505"/>
      <c r="O256" s="1337">
        <f>Text!$AQ$23</f>
        <v>111</v>
      </c>
      <c r="P256" s="1338" t="str">
        <f>Text!$AO$23</f>
        <v>Ziele &amp; Pflichtenhefte</v>
      </c>
      <c r="Q256" s="1465"/>
      <c r="R256" s="1337">
        <f>Text!$AQ$47</f>
        <v>312</v>
      </c>
      <c r="S256" s="1390" t="str">
        <f>Text!$AO$47</f>
        <v>THGE Betrieb</v>
      </c>
      <c r="T256" s="1475"/>
      <c r="U256" s="1475"/>
      <c r="V256" s="1475"/>
      <c r="W256" s="125"/>
      <c r="X256" s="125"/>
    </row>
    <row r="257" spans="1:24" s="1" customFormat="1" ht="2.15" hidden="1" customHeight="1" thickTop="1" thickBot="1">
      <c r="A257" s="82"/>
      <c r="B257" s="82"/>
      <c r="D257" s="1463"/>
      <c r="E257" s="125"/>
      <c r="F257" s="1465"/>
      <c r="G257" s="1465"/>
      <c r="H257" s="1465"/>
      <c r="I257" s="1465"/>
      <c r="J257" s="1465"/>
      <c r="K257" s="1465"/>
      <c r="L257" s="1465"/>
      <c r="M257" s="1465"/>
      <c r="N257" s="1465"/>
      <c r="O257" s="1465"/>
      <c r="P257" s="1465"/>
      <c r="Q257" s="1465"/>
      <c r="R257" s="1465"/>
      <c r="S257" s="1465"/>
      <c r="T257" s="1476"/>
      <c r="U257" s="1476"/>
      <c r="V257" s="1476"/>
      <c r="W257" s="125"/>
      <c r="X257" s="125"/>
    </row>
    <row r="258" spans="1:24" s="1" customFormat="1" ht="15" hidden="1" customHeight="1" thickTop="1" thickBot="1">
      <c r="A258" s="82"/>
      <c r="B258" s="82"/>
      <c r="D258" s="1463"/>
      <c r="E258" s="124"/>
      <c r="F258" s="1337">
        <f>Text!$AQ$24</f>
        <v>112</v>
      </c>
      <c r="G258" s="1338" t="str">
        <f>Text!$AO$24</f>
        <v>Städtebau &amp; Architektur</v>
      </c>
      <c r="H258" s="1400"/>
      <c r="I258" s="1379">
        <f>Text!$AQ$41</f>
        <v>221</v>
      </c>
      <c r="J258" s="1380" t="str">
        <f>Text!$AO$41</f>
        <v>Naturgefahren</v>
      </c>
      <c r="K258" s="1400"/>
      <c r="L258" s="1400"/>
      <c r="M258" s="1400"/>
      <c r="N258" s="1400"/>
      <c r="O258" s="1337">
        <f>Text!$AQ$24</f>
        <v>112</v>
      </c>
      <c r="P258" s="1338" t="str">
        <f>Text!$AO$24</f>
        <v>Städtebau &amp; Architektur</v>
      </c>
      <c r="Q258" s="1400"/>
      <c r="R258" s="1370">
        <f>Text!$AQ$48</f>
        <v>313</v>
      </c>
      <c r="S258" s="1390" t="str">
        <f>Text!$AO$48</f>
        <v>THGE Mobilität</v>
      </c>
      <c r="T258" s="188"/>
      <c r="U258" s="188"/>
      <c r="V258" s="188"/>
      <c r="W258" s="124"/>
      <c r="X258" s="124"/>
    </row>
    <row r="259" spans="1:24" s="1" customFormat="1" ht="2.15" hidden="1" customHeight="1" thickTop="1" thickBot="1">
      <c r="A259" s="82"/>
      <c r="B259" s="82"/>
      <c r="D259" s="1463"/>
      <c r="E259" s="124"/>
      <c r="F259" s="1400"/>
      <c r="G259" s="1400"/>
      <c r="H259" s="1400"/>
      <c r="I259" s="1400"/>
      <c r="J259" s="1400"/>
      <c r="K259" s="1400"/>
      <c r="L259" s="1400"/>
      <c r="M259" s="1400"/>
      <c r="N259" s="1400"/>
      <c r="O259" s="1400"/>
      <c r="P259" s="1400"/>
      <c r="Q259" s="1400"/>
      <c r="R259" s="1400"/>
      <c r="S259" s="1400"/>
      <c r="W259" s="124"/>
      <c r="X259" s="124"/>
    </row>
    <row r="260" spans="1:24" s="1" customFormat="1" ht="15" hidden="1" customHeight="1" thickTop="1" thickBot="1">
      <c r="A260" s="82"/>
      <c r="B260" s="82"/>
      <c r="D260" s="124"/>
      <c r="E260" s="124"/>
      <c r="F260" s="1337">
        <f>Text!$AQ$28</f>
        <v>131</v>
      </c>
      <c r="G260" s="1338" t="str">
        <f>Text!$AO$28</f>
        <v>Räume sozialer Interaktion</v>
      </c>
      <c r="H260" s="1503"/>
      <c r="I260" s="1337">
        <f>Text!$AQ$57</f>
        <v>341</v>
      </c>
      <c r="J260" s="1390" t="str">
        <f>Text!$AO$57</f>
        <v>Biodiversität</v>
      </c>
      <c r="K260" s="1400"/>
      <c r="L260" s="1506"/>
      <c r="M260" s="1507"/>
      <c r="N260" s="1508"/>
      <c r="O260" s="1337">
        <f>Text!$AQ$26</f>
        <v>121</v>
      </c>
      <c r="P260" s="1338" t="str">
        <f>Text!$AO$26</f>
        <v>Erreichbarkeit &amp; Nutzungsang.</v>
      </c>
      <c r="Q260" s="1400"/>
      <c r="R260" s="1337">
        <f>Text!$AQ$52</f>
        <v>332</v>
      </c>
      <c r="S260" s="1390" t="str">
        <f>Text!$AO$52</f>
        <v>Ökologische Baustoffe</v>
      </c>
      <c r="T260" s="124"/>
      <c r="U260" s="1477"/>
      <c r="V260" s="1473"/>
      <c r="W260" s="124"/>
      <c r="X260" s="124"/>
    </row>
    <row r="261" spans="1:24" s="1" customFormat="1" ht="2.15" hidden="1" customHeight="1" thickTop="1" thickBot="1">
      <c r="A261" s="82"/>
      <c r="B261" s="82"/>
      <c r="D261" s="124"/>
      <c r="E261" s="124"/>
      <c r="F261" s="1502"/>
      <c r="G261" s="1503"/>
      <c r="H261" s="1503"/>
      <c r="I261" s="1509"/>
      <c r="J261" s="1503"/>
      <c r="K261" s="1400"/>
      <c r="L261" s="1506"/>
      <c r="M261" s="1507"/>
      <c r="N261" s="1510"/>
      <c r="O261" s="1400"/>
      <c r="P261" s="1507"/>
      <c r="Q261" s="1400"/>
      <c r="R261" s="1506"/>
      <c r="S261" s="1507"/>
      <c r="T261" s="124"/>
      <c r="U261" s="472"/>
      <c r="V261" s="1473"/>
      <c r="W261" s="124"/>
      <c r="X261" s="124"/>
    </row>
    <row r="262" spans="1:24" s="1" customFormat="1" ht="15" hidden="1" customHeight="1" thickTop="1" thickBot="1">
      <c r="A262" s="82"/>
      <c r="B262" s="82"/>
      <c r="D262" s="124"/>
      <c r="E262" s="124"/>
      <c r="F262" s="1370">
        <f>Text!$AQ$32</f>
        <v>143</v>
      </c>
      <c r="G262" s="1338" t="str">
        <f>Text!$AO$32</f>
        <v>Mikroklima</v>
      </c>
      <c r="H262" s="1503"/>
      <c r="I262" s="1337">
        <f>Text!$AQ$58</f>
        <v>342</v>
      </c>
      <c r="J262" s="1390" t="str">
        <f>Text!$AO$58</f>
        <v>Wasser</v>
      </c>
      <c r="K262" s="1400"/>
      <c r="L262" s="1506"/>
      <c r="M262" s="1507"/>
      <c r="N262" s="1508"/>
      <c r="O262" s="1379">
        <f>Text!$AQ$38</f>
        <v>211</v>
      </c>
      <c r="P262" s="1380" t="str">
        <f>Text!$AO$38</f>
        <v>Lebenszykluskosten</v>
      </c>
      <c r="Q262" s="1400"/>
      <c r="R262" s="1370">
        <f>Text!$AQ$54</f>
        <v>334</v>
      </c>
      <c r="S262" s="1390" t="str">
        <f>Text!$AO$54</f>
        <v>Energiemonitoring</v>
      </c>
      <c r="T262" s="124"/>
      <c r="U262" s="1477"/>
      <c r="V262" s="1473"/>
      <c r="W262" s="124"/>
      <c r="X262" s="124"/>
    </row>
    <row r="263" spans="1:24" s="1" customFormat="1" ht="2.15" hidden="1" customHeight="1" thickTop="1" thickBot="1">
      <c r="A263" s="82"/>
      <c r="B263" s="82"/>
      <c r="D263" s="124"/>
      <c r="E263" s="124"/>
      <c r="F263" s="1502"/>
      <c r="G263" s="1503"/>
      <c r="H263" s="1503"/>
      <c r="I263" s="1509"/>
      <c r="J263" s="1503"/>
      <c r="K263" s="1400"/>
      <c r="L263" s="1506"/>
      <c r="M263" s="1507"/>
      <c r="N263" s="1510"/>
      <c r="O263" s="1400"/>
      <c r="P263" s="1507"/>
      <c r="Q263" s="1400"/>
      <c r="R263" s="1506"/>
      <c r="S263" s="1507"/>
      <c r="T263" s="124"/>
      <c r="U263" s="472"/>
      <c r="V263" s="1473"/>
      <c r="W263" s="124"/>
      <c r="X263" s="124"/>
    </row>
    <row r="264" spans="1:24" s="1" customFormat="1" ht="15" hidden="1" customHeight="1" thickTop="1" thickBot="1">
      <c r="A264" s="82"/>
      <c r="B264" s="82"/>
      <c r="D264" s="124"/>
      <c r="E264" s="124"/>
      <c r="F264" s="1502"/>
      <c r="G264" s="1503"/>
      <c r="H264" s="1503"/>
      <c r="I264" s="1511"/>
      <c r="J264" s="1503"/>
      <c r="K264" s="1400"/>
      <c r="L264" s="1506"/>
      <c r="M264" s="1507"/>
      <c r="N264" s="1508"/>
      <c r="O264" s="1381">
        <f>Text!$AQ$40</f>
        <v>213</v>
      </c>
      <c r="P264" s="1380" t="str">
        <f>Text!$AO$40</f>
        <v>Wiederverwendung &amp; Systemtr.</v>
      </c>
      <c r="Q264" s="1400"/>
      <c r="R264" s="1370">
        <f>Text!$AQ$55</f>
        <v>335</v>
      </c>
      <c r="S264" s="1390" t="str">
        <f>Text!$AO$55</f>
        <v>Mobilitätsmassnahmen</v>
      </c>
      <c r="T264" s="124"/>
      <c r="U264" s="1477"/>
      <c r="V264" s="1473"/>
      <c r="W264" s="124"/>
      <c r="X264" s="124"/>
    </row>
    <row r="265" spans="1:24" s="1" customFormat="1" ht="2.15" hidden="1" customHeight="1" thickTop="1" thickBot="1">
      <c r="A265" s="82"/>
      <c r="B265" s="82"/>
      <c r="D265" s="124"/>
      <c r="E265" s="124"/>
      <c r="F265" s="1502"/>
      <c r="G265" s="1503"/>
      <c r="H265" s="1503"/>
      <c r="I265" s="1509"/>
      <c r="J265" s="1503"/>
      <c r="K265" s="1400"/>
      <c r="L265" s="1506"/>
      <c r="M265" s="1507"/>
      <c r="N265" s="1510"/>
      <c r="O265" s="1400"/>
      <c r="P265" s="1507"/>
      <c r="Q265" s="1400"/>
      <c r="R265" s="1506"/>
      <c r="S265" s="1507"/>
      <c r="T265" s="124"/>
      <c r="U265" s="472"/>
      <c r="V265" s="1473"/>
      <c r="W265" s="124"/>
      <c r="X265" s="124"/>
    </row>
    <row r="266" spans="1:24" s="1" customFormat="1" ht="15" hidden="1" customHeight="1" thickTop="1" thickBot="1">
      <c r="A266" s="82"/>
      <c r="B266" s="82"/>
      <c r="D266" s="124"/>
      <c r="E266" s="124"/>
      <c r="F266" s="1502"/>
      <c r="G266" s="1503"/>
      <c r="H266" s="1503"/>
      <c r="I266" s="1511"/>
      <c r="J266" s="1503"/>
      <c r="K266" s="1400"/>
      <c r="L266" s="1506"/>
      <c r="M266" s="1507"/>
      <c r="N266" s="1508"/>
      <c r="O266" s="1379">
        <f>Text!$AQ$43</f>
        <v>223</v>
      </c>
      <c r="P266" s="1380" t="str">
        <f>Text!$AO$43</f>
        <v>Nutzungsflexib. &amp; -variabilität</v>
      </c>
      <c r="Q266" s="1400"/>
      <c r="R266" s="1370">
        <f>Text!$AQ$56</f>
        <v>336</v>
      </c>
      <c r="S266" s="1390" t="str">
        <f>Text!$AO$56</f>
        <v>Elektro-Mobilität</v>
      </c>
      <c r="T266" s="124"/>
      <c r="U266" s="1477"/>
      <c r="V266" s="58"/>
      <c r="W266" s="124"/>
      <c r="X266" s="124"/>
    </row>
    <row r="267" spans="1:24" s="1" customFormat="1" ht="2.15" hidden="1" customHeight="1" thickTop="1" thickBot="1">
      <c r="A267" s="82"/>
      <c r="B267" s="82"/>
      <c r="D267" s="124"/>
      <c r="E267" s="124"/>
      <c r="F267" s="1502"/>
      <c r="G267" s="1503"/>
      <c r="H267" s="1503"/>
      <c r="I267" s="1509"/>
      <c r="J267" s="1503"/>
      <c r="K267" s="1400"/>
      <c r="L267" s="1506"/>
      <c r="M267" s="1507"/>
      <c r="N267" s="1510"/>
      <c r="O267" s="1400"/>
      <c r="P267" s="1507"/>
      <c r="Q267" s="1400"/>
      <c r="R267" s="1506"/>
      <c r="S267" s="1507"/>
      <c r="T267" s="124"/>
      <c r="U267" s="472"/>
      <c r="V267" s="1473"/>
      <c r="W267" s="124"/>
      <c r="X267" s="124"/>
    </row>
    <row r="268" spans="1:24" s="1" customFormat="1" ht="15" hidden="1" customHeight="1" thickTop="1" thickBot="1">
      <c r="A268" s="82"/>
      <c r="B268" s="82"/>
      <c r="D268" s="124"/>
      <c r="E268" s="124"/>
      <c r="F268" s="1502"/>
      <c r="G268" s="1503"/>
      <c r="H268" s="1503"/>
      <c r="I268" s="1511"/>
      <c r="J268" s="1503"/>
      <c r="K268" s="1400"/>
      <c r="L268" s="1506"/>
      <c r="M268" s="1507"/>
      <c r="N268" s="1508"/>
      <c r="O268" s="1337">
        <f>Text!$AQ$46</f>
        <v>311</v>
      </c>
      <c r="P268" s="1390" t="str">
        <f>Text!$AO$46</f>
        <v>THGE Erstellung</v>
      </c>
      <c r="Q268" s="1400"/>
      <c r="R268" s="1506"/>
      <c r="S268" s="1507"/>
      <c r="T268" s="124"/>
      <c r="U268" s="1477"/>
      <c r="V268" s="1473"/>
      <c r="W268" s="124"/>
      <c r="X268" s="124"/>
    </row>
    <row r="269" spans="1:24" s="1" customFormat="1" ht="2.15" hidden="1" customHeight="1" thickTop="1">
      <c r="A269" s="82"/>
      <c r="B269" s="82"/>
      <c r="D269" s="125"/>
      <c r="E269" s="125"/>
      <c r="F269" s="1471"/>
      <c r="G269" s="58"/>
      <c r="H269" s="58"/>
      <c r="I269" s="472"/>
      <c r="J269" s="58"/>
      <c r="L269" s="1472"/>
      <c r="M269" s="1473"/>
      <c r="N269" s="1479"/>
      <c r="P269" s="1473"/>
      <c r="R269" s="1472"/>
      <c r="S269" s="1473"/>
      <c r="T269" s="124"/>
      <c r="U269" s="472"/>
      <c r="V269" s="1473"/>
      <c r="W269" s="125"/>
      <c r="X269" s="125"/>
    </row>
    <row r="270" spans="1:24" s="1" customFormat="1" ht="15" hidden="1" customHeight="1">
      <c r="A270" s="82"/>
      <c r="B270" s="82"/>
      <c r="F270" s="1471"/>
      <c r="G270" s="58"/>
      <c r="H270" s="58"/>
      <c r="I270" s="1477"/>
      <c r="J270" s="58"/>
      <c r="L270" s="1472"/>
      <c r="M270" s="1473"/>
      <c r="N270" s="1478"/>
      <c r="P270" s="58"/>
      <c r="R270" s="1472"/>
      <c r="S270" s="1473"/>
      <c r="T270" s="124"/>
      <c r="U270" s="1477"/>
      <c r="V270" s="1473"/>
      <c r="W270" s="125"/>
      <c r="X270" s="125"/>
    </row>
    <row r="271" spans="1:24" s="1" customFormat="1" ht="2.15" hidden="1" customHeight="1">
      <c r="A271" s="82"/>
      <c r="B271" s="82"/>
      <c r="F271" s="1471"/>
      <c r="G271" s="58"/>
      <c r="H271" s="58"/>
      <c r="I271" s="472"/>
      <c r="J271" s="58"/>
      <c r="L271" s="1472"/>
      <c r="M271" s="1473"/>
      <c r="N271" s="1479"/>
      <c r="P271" s="1473"/>
      <c r="R271" s="1472"/>
      <c r="S271" s="1473"/>
      <c r="T271" s="125"/>
      <c r="U271" s="472"/>
      <c r="V271" s="1473"/>
      <c r="W271" s="125"/>
      <c r="X271" s="125"/>
    </row>
    <row r="272" spans="1:24" s="1" customFormat="1" ht="15" hidden="1" customHeight="1">
      <c r="A272" s="82"/>
      <c r="B272" s="82"/>
      <c r="F272" s="1471"/>
      <c r="G272" s="58"/>
      <c r="H272" s="58"/>
      <c r="I272" s="1477"/>
      <c r="J272" s="58"/>
      <c r="L272" s="1472"/>
      <c r="M272" s="1473"/>
      <c r="N272" s="1478"/>
      <c r="P272" s="58"/>
      <c r="R272" s="1472"/>
      <c r="S272" s="1473"/>
      <c r="T272" s="1474"/>
      <c r="U272" s="1477"/>
      <c r="V272" s="1480"/>
      <c r="W272" s="125"/>
      <c r="X272" s="125"/>
    </row>
    <row r="273" spans="1:26 16384:16384" s="1" customFormat="1" ht="2.15" hidden="1" customHeight="1">
      <c r="A273" s="82"/>
      <c r="B273" s="82"/>
      <c r="F273" s="1471"/>
      <c r="G273" s="58"/>
      <c r="H273" s="58"/>
      <c r="I273" s="472"/>
      <c r="J273" s="58"/>
      <c r="L273" s="1472"/>
      <c r="M273" s="1473"/>
      <c r="N273" s="1479"/>
      <c r="P273" s="1473"/>
      <c r="R273" s="1472"/>
      <c r="S273" s="1473"/>
      <c r="T273" s="1474"/>
      <c r="U273" s="472"/>
      <c r="V273" s="125"/>
      <c r="W273" s="125"/>
      <c r="X273" s="125"/>
    </row>
    <row r="274" spans="1:26 16384:16384" s="1" customFormat="1" ht="10.5" hidden="1" customHeight="1" thickBot="1">
      <c r="A274" s="82"/>
      <c r="B274" s="82"/>
      <c r="F274" s="1471"/>
      <c r="G274" s="58"/>
      <c r="H274" s="58"/>
      <c r="I274" s="1477"/>
      <c r="J274" s="58"/>
      <c r="L274" s="1472"/>
      <c r="M274" s="1473"/>
      <c r="N274" s="1478"/>
      <c r="P274" s="1480"/>
      <c r="R274" s="1472"/>
      <c r="S274" s="1473"/>
      <c r="T274" s="1474"/>
      <c r="U274" s="1477"/>
      <c r="V274" s="125"/>
      <c r="W274" s="125"/>
      <c r="X274" s="125"/>
    </row>
    <row r="275" spans="1:26 16384:16384" s="219" customFormat="1" ht="10.4" hidden="1" customHeight="1" thickTop="1" thickBot="1">
      <c r="A275" s="14"/>
      <c r="B275" s="1732" t="str">
        <f>Text!$AK$23</f>
        <v>Gesellschaft</v>
      </c>
      <c r="C275" s="1752">
        <f>Text!$AM$23</f>
        <v>11</v>
      </c>
      <c r="D275" s="1753" t="str">
        <f>Text!$AP$23</f>
        <v>Qualität der Entwicklung</v>
      </c>
      <c r="E275" s="1142"/>
      <c r="F275" s="1337">
        <f>Text!$AQ$23</f>
        <v>111</v>
      </c>
      <c r="G275" s="1338" t="str">
        <f>Text!$AO$23</f>
        <v>Ziele &amp; Pflichtenhefte</v>
      </c>
      <c r="H275" s="1339" t="s">
        <v>1444</v>
      </c>
      <c r="I275" s="1337">
        <f>Text!$AQ$24</f>
        <v>112</v>
      </c>
      <c r="J275" s="1338" t="str">
        <f>Text!$AO$24</f>
        <v>Städtebau &amp; Architektur</v>
      </c>
      <c r="K275" s="1499" t="s">
        <v>1444</v>
      </c>
      <c r="L275" s="1529">
        <f>Text!$AQ$25</f>
        <v>113</v>
      </c>
      <c r="M275" s="1527" t="str">
        <f>Text!$AO$25</f>
        <v>Partizipation</v>
      </c>
      <c r="N275" s="1341"/>
      <c r="O275" s="1342"/>
      <c r="P275" s="1343"/>
      <c r="Q275" s="1343"/>
      <c r="R275" s="1343"/>
      <c r="S275" s="1343"/>
      <c r="T275" s="1342"/>
      <c r="U275" s="1342"/>
      <c r="V275" s="1344"/>
      <c r="W275" s="1345"/>
      <c r="X275" s="1342"/>
      <c r="Y275" s="1346"/>
      <c r="Z275" s="218"/>
      <c r="XFD275" s="14"/>
    </row>
    <row r="276" spans="1:26 16384:16384" s="14" customFormat="1" ht="10.4" hidden="1" customHeight="1" thickTop="1" thickBot="1">
      <c r="B276" s="1732"/>
      <c r="C276" s="1752"/>
      <c r="D276" s="1753"/>
      <c r="E276" s="1142"/>
      <c r="F276" s="1347" t="str">
        <f>Text!$AT$23</f>
        <v>K111</v>
      </c>
      <c r="G276" s="1348" t="str">
        <f>Text!$AN$23</f>
        <v>Ziele &amp; Pflichtenhefte Klima</v>
      </c>
      <c r="H276" s="1339" t="s">
        <v>1444</v>
      </c>
      <c r="I276" s="1347" t="str">
        <f>Text!$AT$24</f>
        <v>K112a</v>
      </c>
      <c r="J276" s="1348" t="str">
        <f>Text!$AN$24</f>
        <v>Klimaangepasster Städtebau</v>
      </c>
      <c r="K276" s="1349"/>
      <c r="L276" s="1500" t="str">
        <f>Text!$AT$26</f>
        <v>K113a</v>
      </c>
      <c r="M276" s="1501" t="str">
        <f>Text!$AN$26</f>
        <v>Sensibilisierung &amp; Nutzerverhalten</v>
      </c>
      <c r="N276" s="1341"/>
      <c r="O276" s="1342"/>
      <c r="P276" s="1343"/>
      <c r="Q276" s="1343"/>
      <c r="R276" s="1343"/>
      <c r="S276" s="1343"/>
      <c r="T276" s="1342"/>
      <c r="U276" s="1342"/>
      <c r="V276" s="1344"/>
      <c r="W276" s="1345"/>
      <c r="X276" s="1342"/>
      <c r="Y276" s="1346"/>
      <c r="Z276" s="58"/>
    </row>
    <row r="277" spans="1:26 16384:16384" s="14" customFormat="1" ht="10.4" hidden="1" customHeight="1" thickTop="1" thickBot="1">
      <c r="B277" s="1732"/>
      <c r="C277" s="1752"/>
      <c r="D277" s="1753"/>
      <c r="E277" s="1139"/>
      <c r="F277" s="1350"/>
      <c r="G277" s="1350"/>
      <c r="H277" s="1351"/>
      <c r="I277" s="1347" t="str">
        <f>Text!$AT$25</f>
        <v>K112b</v>
      </c>
      <c r="J277" s="1348" t="str">
        <f>Text!$AN$25</f>
        <v>Klimaangepasstes Planerwahlverfahren</v>
      </c>
      <c r="K277" s="1349" t="s">
        <v>1444</v>
      </c>
      <c r="L277" s="1347" t="str">
        <f>Text!$AT$27</f>
        <v>K113b</v>
      </c>
      <c r="M277" s="1348" t="str">
        <f>Text!$AN$27</f>
        <v>Partizipation im Klimaschutz</v>
      </c>
      <c r="N277" s="1341"/>
      <c r="O277" s="1342"/>
      <c r="P277" s="1343"/>
      <c r="Q277" s="1343"/>
      <c r="R277" s="1343"/>
      <c r="S277" s="1343"/>
      <c r="T277" s="1342"/>
      <c r="U277" s="1342"/>
      <c r="V277" s="1344"/>
      <c r="W277" s="1345"/>
      <c r="X277" s="1342"/>
      <c r="Y277" s="1346"/>
      <c r="Z277" s="58"/>
    </row>
    <row r="278" spans="1:26 16384:16384" s="219" customFormat="1" ht="10.4" hidden="1" customHeight="1" thickTop="1" thickBot="1">
      <c r="A278" s="14"/>
      <c r="B278" s="1732"/>
      <c r="C278" s="1752">
        <f>Text!$AM$26</f>
        <v>12</v>
      </c>
      <c r="D278" s="1753" t="str">
        <f>Text!$AP$26</f>
        <v>Angebot &amp; Erreichbarkeit</v>
      </c>
      <c r="E278" s="1142"/>
      <c r="F278" s="1337">
        <f>Text!$AQ$26</f>
        <v>121</v>
      </c>
      <c r="G278" s="1338" t="str">
        <f>Text!$AO$26</f>
        <v>Erreichbarkeit &amp; Nutzungsang.</v>
      </c>
      <c r="H278" s="1353" t="s">
        <v>1444</v>
      </c>
      <c r="I278" s="1529">
        <f>Text!$AQ$27</f>
        <v>122</v>
      </c>
      <c r="J278" s="1527" t="str">
        <f>Text!$AO$27</f>
        <v>Hindernisfreies Bauen</v>
      </c>
      <c r="K278" s="1354"/>
      <c r="L278" s="1355"/>
      <c r="M278" s="1356"/>
      <c r="N278" s="1357"/>
      <c r="O278" s="1358"/>
      <c r="P278" s="1357"/>
      <c r="Q278" s="1357"/>
      <c r="R278" s="1358"/>
      <c r="S278" s="1357"/>
      <c r="T278" s="1343"/>
      <c r="U278" s="1342"/>
      <c r="V278" s="1344"/>
      <c r="W278" s="1345"/>
      <c r="X278" s="1342"/>
      <c r="Y278" s="1346"/>
      <c r="XFD278" s="14"/>
    </row>
    <row r="279" spans="1:26 16384:16384" s="18" customFormat="1" ht="10.4" hidden="1" customHeight="1" thickTop="1" thickBot="1">
      <c r="B279" s="1732"/>
      <c r="C279" s="1752"/>
      <c r="D279" s="1753"/>
      <c r="E279" s="1150"/>
      <c r="F279" s="1347" t="str">
        <f>Text!$AT$28</f>
        <v>K121</v>
      </c>
      <c r="G279" s="1348" t="str">
        <f>Text!$AN$28</f>
        <v>Abkühlungsangebot im Quartier</v>
      </c>
      <c r="H279" s="1339"/>
      <c r="I279" s="1347" t="str">
        <f>Text!$AT$29</f>
        <v>K122</v>
      </c>
      <c r="J279" s="1348" t="str">
        <f>Text!$AN$29</f>
        <v>Bauen mit Abkühlungshilfen</v>
      </c>
      <c r="K279" s="1341"/>
      <c r="L279" s="1359"/>
      <c r="M279" s="1342"/>
      <c r="N279" s="1342"/>
      <c r="O279" s="1359"/>
      <c r="P279" s="1342"/>
      <c r="Q279" s="1342"/>
      <c r="R279" s="1359"/>
      <c r="S279" s="1342"/>
      <c r="T279" s="1342"/>
      <c r="U279" s="1342"/>
      <c r="V279" s="1344"/>
      <c r="W279" s="1345"/>
      <c r="X279" s="1342"/>
      <c r="Y279" s="1346"/>
    </row>
    <row r="280" spans="1:26 16384:16384" s="220" customFormat="1" ht="10.4" hidden="1" customHeight="1" thickTop="1" thickBot="1">
      <c r="A280" s="18"/>
      <c r="B280" s="1732"/>
      <c r="C280" s="1752">
        <f>Text!$AM$28</f>
        <v>13</v>
      </c>
      <c r="D280" s="1753" t="str">
        <f>Text!$AP$28</f>
        <v>Gebrauchsqualität</v>
      </c>
      <c r="E280" s="1142"/>
      <c r="F280" s="1337">
        <f>Text!$AQ$28</f>
        <v>131</v>
      </c>
      <c r="G280" s="1338" t="str">
        <f>Text!$AO$28</f>
        <v>Räume sozialer Interaktion</v>
      </c>
      <c r="H280" s="1349"/>
      <c r="I280" s="1529">
        <f>Text!$AQ$29</f>
        <v>132</v>
      </c>
      <c r="J280" s="1527" t="str">
        <f>Text!$AO$29</f>
        <v>Sicherheit</v>
      </c>
      <c r="K280" s="1341"/>
      <c r="L280" s="1358"/>
      <c r="M280" s="1357"/>
      <c r="N280" s="1360"/>
      <c r="O280" s="1358"/>
      <c r="P280" s="1357"/>
      <c r="Q280" s="1357"/>
      <c r="R280" s="1358"/>
      <c r="S280" s="1357"/>
      <c r="T280" s="1342"/>
      <c r="U280" s="1342"/>
      <c r="V280" s="1344"/>
      <c r="W280" s="1345"/>
      <c r="X280" s="1342"/>
      <c r="Y280" s="1346"/>
      <c r="XFD280" s="18"/>
    </row>
    <row r="281" spans="1:26 16384:16384" s="18" customFormat="1" ht="10.4" hidden="1" customHeight="1" thickTop="1" thickBot="1">
      <c r="B281" s="1732"/>
      <c r="C281" s="1752"/>
      <c r="D281" s="1753"/>
      <c r="E281" s="1150"/>
      <c r="F281" s="1347" t="str">
        <f>Text!$AT$30</f>
        <v>K131</v>
      </c>
      <c r="G281" s="1348" t="str">
        <f>Text!$AN$30</f>
        <v>Abkühlungsang. halböffentl. Räume</v>
      </c>
      <c r="H281" s="1361" t="s">
        <v>1444</v>
      </c>
      <c r="I281" s="1362"/>
      <c r="J281" s="1350"/>
      <c r="K281" s="1363"/>
      <c r="L281" s="1364"/>
      <c r="M281" s="1363"/>
      <c r="N281" s="1363"/>
      <c r="O281" s="1364"/>
      <c r="P281" s="1363"/>
      <c r="Q281" s="1363"/>
      <c r="R281" s="1364"/>
      <c r="S281" s="1363"/>
      <c r="T281" s="1363"/>
      <c r="U281" s="1363"/>
      <c r="V281" s="1365"/>
      <c r="W281" s="1366"/>
      <c r="X281" s="1363"/>
      <c r="Y281" s="1367"/>
    </row>
    <row r="282" spans="1:26 16384:16384" s="220" customFormat="1" ht="10.4" hidden="1" customHeight="1" thickTop="1" thickBot="1">
      <c r="A282" s="18"/>
      <c r="B282" s="1732"/>
      <c r="C282" s="1752">
        <f>Text!$AM$30</f>
        <v>14</v>
      </c>
      <c r="D282" s="1753" t="str">
        <f>Text!$AP$30</f>
        <v>Wohlbefinden &amp; Gesundheit</v>
      </c>
      <c r="E282" s="1142"/>
      <c r="F282" s="1529" t="str">
        <f>Text!$AQ$30</f>
        <v>141</v>
      </c>
      <c r="G282" s="1527" t="str">
        <f>Text!$AO$30</f>
        <v>Raumluftqualität</v>
      </c>
      <c r="H282" s="1369"/>
      <c r="I282" s="1529">
        <f>Text!$AQ$31</f>
        <v>142</v>
      </c>
      <c r="J282" s="1527" t="str">
        <f>Text!$AO$31</f>
        <v>Schadstoffe &amp; Strahlung</v>
      </c>
      <c r="K282" s="1349"/>
      <c r="L282" s="1370">
        <f>Text!$AQ$32</f>
        <v>143</v>
      </c>
      <c r="M282" s="1338" t="str">
        <f>Text!$AO$32</f>
        <v>Mikroklima</v>
      </c>
      <c r="N282" s="1349"/>
      <c r="O282" s="1370">
        <f>Text!$AQ$33</f>
        <v>144</v>
      </c>
      <c r="P282" s="1338" t="str">
        <f>Text!$AO$33</f>
        <v>Sommerlicher Wärmeschutz</v>
      </c>
      <c r="Q282" s="1349"/>
      <c r="R282" s="1529">
        <f>Text!$AQ$34</f>
        <v>145</v>
      </c>
      <c r="S282" s="1527" t="str">
        <f>Text!$AO$34</f>
        <v>Winterlicher Wärmeschutz</v>
      </c>
      <c r="T282" s="1349"/>
      <c r="U282" s="1528">
        <f>Text!$AQ$35</f>
        <v>146</v>
      </c>
      <c r="V282" s="1527" t="str">
        <f>Text!$AO$35</f>
        <v>Tageslicht</v>
      </c>
      <c r="W282" s="1371"/>
      <c r="X282" s="1529">
        <f>Text!$AQ$36</f>
        <v>147</v>
      </c>
      <c r="Y282" s="1527" t="str">
        <f>Text!$AO$36</f>
        <v>Schallschutz</v>
      </c>
      <c r="XFD282" s="18"/>
    </row>
    <row r="283" spans="1:26 16384:16384" s="220" customFormat="1" ht="10.4" hidden="1" customHeight="1" thickTop="1" thickBot="1">
      <c r="A283" s="18"/>
      <c r="B283" s="1732"/>
      <c r="C283" s="1752"/>
      <c r="D283" s="1753"/>
      <c r="E283" s="1139"/>
      <c r="F283" s="1372"/>
      <c r="G283" s="1373"/>
      <c r="H283" s="1342"/>
      <c r="I283" s="1372"/>
      <c r="J283" s="1373"/>
      <c r="K283" s="1373"/>
      <c r="L283" s="1372"/>
      <c r="M283" s="1373"/>
      <c r="N283" s="1374"/>
      <c r="O283" s="1347" t="str">
        <f>Text!$AT$31</f>
        <v>K144</v>
      </c>
      <c r="P283" s="1348" t="str">
        <f>Text!$AN$31</f>
        <v>Behaglichkeit im Klimaw.</v>
      </c>
      <c r="Q283" s="1349"/>
      <c r="R283" s="1375"/>
      <c r="S283" s="1349"/>
      <c r="T283" s="1349"/>
      <c r="U283" s="1347" t="str">
        <f>Text!$AT$32</f>
        <v>K146</v>
      </c>
      <c r="V283" s="1348" t="str">
        <f>Text!$AN$32</f>
        <v>Visueller Komfort im Klimaw.</v>
      </c>
      <c r="W283" s="1371"/>
      <c r="X283" s="1375"/>
      <c r="Y283" s="1349"/>
      <c r="XFD283" s="18"/>
    </row>
    <row r="284" spans="1:26 16384:16384" s="18" customFormat="1" ht="10.4" hidden="1" customHeight="1" thickTop="1" thickBot="1">
      <c r="B284" s="1140"/>
      <c r="C284" s="649"/>
      <c r="D284" s="1141"/>
      <c r="E284" s="2"/>
      <c r="F284" s="1359"/>
      <c r="G284" s="1342"/>
      <c r="H284" s="1342"/>
      <c r="I284" s="1359"/>
      <c r="J284" s="1342"/>
      <c r="K284" s="1342"/>
      <c r="L284" s="1359"/>
      <c r="M284" s="1342"/>
      <c r="N284" s="1342"/>
      <c r="O284" s="1372"/>
      <c r="P284" s="1373"/>
      <c r="Q284" s="1373"/>
      <c r="R284" s="1372"/>
      <c r="S284" s="1373"/>
      <c r="T284" s="1373"/>
      <c r="U284" s="1372"/>
      <c r="V284" s="1376"/>
      <c r="W284" s="1377"/>
      <c r="X284" s="1373"/>
      <c r="Y284" s="1378"/>
    </row>
    <row r="285" spans="1:26 16384:16384" s="14" customFormat="1" ht="10.4" hidden="1" customHeight="1" thickTop="1" thickBot="1">
      <c r="B285" s="1754" t="str">
        <f>Text!$AK$38</f>
        <v>Wirtschaft</v>
      </c>
      <c r="C285" s="1691">
        <f>Text!$AM$38</f>
        <v>21</v>
      </c>
      <c r="D285" s="1692" t="str">
        <f>Text!$AP$38</f>
        <v>Lebenszyklus</v>
      </c>
      <c r="E285" s="113"/>
      <c r="F285" s="1379">
        <f>Text!$AQ$38</f>
        <v>211</v>
      </c>
      <c r="G285" s="1380" t="str">
        <f>Text!$AO$38</f>
        <v>Lebenszykluskosten</v>
      </c>
      <c r="H285" s="1342"/>
      <c r="I285" s="1529">
        <f>Text!$AQ$39</f>
        <v>212</v>
      </c>
      <c r="J285" s="1527" t="str">
        <f>Text!$AO$39</f>
        <v>Bewirtschaftungsgerechte P &amp; R</v>
      </c>
      <c r="K285" s="1342" t="s">
        <v>1444</v>
      </c>
      <c r="L285" s="1381">
        <f>Text!$AQ$40</f>
        <v>213</v>
      </c>
      <c r="M285" s="1380" t="str">
        <f>Text!$AO$40</f>
        <v>Wiederverwendung &amp; Systemtr.</v>
      </c>
      <c r="N285" s="1382" t="s">
        <v>1444</v>
      </c>
      <c r="O285" s="1359"/>
      <c r="P285" s="1342"/>
      <c r="Q285" s="1342"/>
      <c r="R285" s="1359"/>
      <c r="S285" s="1342"/>
      <c r="T285" s="1342"/>
      <c r="U285" s="1359"/>
      <c r="V285" s="1344"/>
      <c r="W285" s="1345"/>
      <c r="X285" s="1342"/>
      <c r="Y285" s="1346"/>
      <c r="Z285" s="58"/>
    </row>
    <row r="286" spans="1:26 16384:16384" s="14" customFormat="1" ht="10.4" hidden="1" customHeight="1" thickTop="1" thickBot="1">
      <c r="B286" s="1755"/>
      <c r="C286" s="1691"/>
      <c r="D286" s="1692"/>
      <c r="E286" s="221"/>
      <c r="F286" s="1383" t="str">
        <f>Text!$AT$38</f>
        <v>K211</v>
      </c>
      <c r="G286" s="1384" t="str">
        <f>Text!$AN$38</f>
        <v>LZ-Betrachtung im Klimawandel</v>
      </c>
      <c r="H286" s="1382" t="s">
        <v>1444</v>
      </c>
      <c r="I286" s="1385"/>
      <c r="J286" s="1342"/>
      <c r="K286" s="1342"/>
      <c r="L286" s="1386"/>
      <c r="M286" s="1342"/>
      <c r="N286" s="1342"/>
      <c r="O286" s="1359"/>
      <c r="P286" s="1342"/>
      <c r="Q286" s="1343"/>
      <c r="R286" s="1359"/>
      <c r="S286" s="1342"/>
      <c r="T286" s="1343"/>
      <c r="U286" s="1359"/>
      <c r="V286" s="1344"/>
      <c r="W286" s="1345"/>
      <c r="X286" s="1342"/>
      <c r="Y286" s="1346"/>
      <c r="Z286" s="58"/>
    </row>
    <row r="287" spans="1:26 16384:16384" s="220" customFormat="1" ht="10.4" hidden="1" customHeight="1" thickTop="1" thickBot="1">
      <c r="A287" s="18"/>
      <c r="B287" s="1755"/>
      <c r="C287" s="1691">
        <f>Text!$AM$41</f>
        <v>22</v>
      </c>
      <c r="D287" s="1692" t="str">
        <f>Text!$AP$41</f>
        <v>Nutzbarkeit</v>
      </c>
      <c r="E287" s="2"/>
      <c r="F287" s="1379">
        <f>Text!$AQ$41</f>
        <v>221</v>
      </c>
      <c r="G287" s="1380" t="str">
        <f>Text!$AO$41</f>
        <v>Naturgefahren</v>
      </c>
      <c r="H287" s="1342"/>
      <c r="I287" s="1529">
        <f>Text!$AQ$42</f>
        <v>222</v>
      </c>
      <c r="J287" s="1527" t="str">
        <f>Text!$AO$42</f>
        <v>Nutzungsdichte</v>
      </c>
      <c r="K287" s="1342"/>
      <c r="L287" s="1379">
        <f>Text!$AQ$43</f>
        <v>223</v>
      </c>
      <c r="M287" s="1380" t="str">
        <f>Text!$AO$43</f>
        <v>Nutzungsflexib. &amp; -variabilität</v>
      </c>
      <c r="N287" s="1343"/>
      <c r="O287" s="1358"/>
      <c r="P287" s="1357"/>
      <c r="Q287" s="1342"/>
      <c r="R287" s="1359"/>
      <c r="S287" s="1342"/>
      <c r="T287" s="1342"/>
      <c r="U287" s="1359"/>
      <c r="V287" s="1344"/>
      <c r="W287" s="1345"/>
      <c r="X287" s="1342"/>
      <c r="Y287" s="1346"/>
      <c r="XFD287" s="18"/>
    </row>
    <row r="288" spans="1:26 16384:16384" s="18" customFormat="1" ht="10.4" hidden="1" customHeight="1" thickTop="1" thickBot="1">
      <c r="B288" s="1755"/>
      <c r="C288" s="1691"/>
      <c r="D288" s="1692"/>
      <c r="E288" s="217"/>
      <c r="F288" s="1383" t="str">
        <f>Text!$AT$39</f>
        <v>K221</v>
      </c>
      <c r="G288" s="1384" t="str">
        <f>Text!$AN$39</f>
        <v>Standort &amp; Klimawandel</v>
      </c>
      <c r="H288" s="1342"/>
      <c r="I288" s="1358"/>
      <c r="J288" s="1357"/>
      <c r="K288" s="1342"/>
      <c r="L288" s="1383" t="str">
        <f>Text!$AT$40</f>
        <v>K223</v>
      </c>
      <c r="M288" s="1384" t="str">
        <f>Text!$AN$40</f>
        <v>Klima-Flexibilität &amp; Gebrauchstaugl.</v>
      </c>
      <c r="N288" s="1343" t="s">
        <v>1444</v>
      </c>
      <c r="O288" s="1359"/>
      <c r="P288" s="1343"/>
      <c r="Q288" s="1342"/>
      <c r="R288" s="1359"/>
      <c r="S288" s="1343"/>
      <c r="T288" s="1342"/>
      <c r="U288" s="1359"/>
      <c r="V288" s="1344"/>
      <c r="W288" s="1345"/>
      <c r="X288" s="1342"/>
      <c r="Y288" s="1346"/>
    </row>
    <row r="289" spans="1:25 16384:16384" s="220" customFormat="1" ht="10.4" hidden="1" customHeight="1" thickTop="1" thickBot="1">
      <c r="A289" s="18"/>
      <c r="B289" s="1755"/>
      <c r="C289" s="1693">
        <f>Text!$AM$44</f>
        <v>23</v>
      </c>
      <c r="D289" s="1695" t="str">
        <f>Text!$AP$44</f>
        <v>Regionalökonomie</v>
      </c>
      <c r="E289" s="2"/>
      <c r="F289" s="1529">
        <f>Text!$AQ$44</f>
        <v>231</v>
      </c>
      <c r="G289" s="1527" t="str">
        <f>Text!$AO$44</f>
        <v>Regionale Wertschöpfung</v>
      </c>
      <c r="H289" s="1342"/>
      <c r="I289" s="1358"/>
      <c r="J289" s="1357"/>
      <c r="K289" s="1357"/>
      <c r="L289" s="1358"/>
      <c r="M289" s="1357"/>
      <c r="N289" s="1342"/>
      <c r="O289" s="1359"/>
      <c r="P289" s="1342"/>
      <c r="Q289" s="1342"/>
      <c r="R289" s="1359"/>
      <c r="S289" s="1342"/>
      <c r="T289" s="1342"/>
      <c r="U289" s="1359"/>
      <c r="V289" s="1344"/>
      <c r="W289" s="1345"/>
      <c r="X289" s="1342"/>
      <c r="Y289" s="1346"/>
      <c r="XFD289" s="18"/>
    </row>
    <row r="290" spans="1:25 16384:16384" s="220" customFormat="1" ht="10.4" hidden="1" customHeight="1" thickTop="1">
      <c r="A290" s="18"/>
      <c r="B290" s="1756"/>
      <c r="C290" s="1694"/>
      <c r="D290" s="1696"/>
      <c r="E290" s="132"/>
      <c r="F290" s="1387"/>
      <c r="G290" s="1388"/>
      <c r="H290" s="1363"/>
      <c r="I290" s="1387"/>
      <c r="J290" s="1388"/>
      <c r="K290" s="1388"/>
      <c r="L290" s="1387"/>
      <c r="M290" s="1388"/>
      <c r="N290" s="1363"/>
      <c r="O290" s="1364"/>
      <c r="P290" s="1363"/>
      <c r="Q290" s="1363"/>
      <c r="R290" s="1364"/>
      <c r="S290" s="1363"/>
      <c r="T290" s="1363"/>
      <c r="U290" s="1364"/>
      <c r="V290" s="1365"/>
      <c r="W290" s="1345"/>
      <c r="X290" s="1342"/>
      <c r="Y290" s="1346"/>
      <c r="XFD290" s="18"/>
    </row>
    <row r="291" spans="1:25 16384:16384" s="18" customFormat="1" ht="10.4" hidden="1" customHeight="1" thickBot="1">
      <c r="B291" s="1156"/>
      <c r="C291" s="132"/>
      <c r="D291" s="1157"/>
      <c r="E291" s="132"/>
      <c r="F291" s="1364"/>
      <c r="G291" s="1363"/>
      <c r="H291" s="1363"/>
      <c r="I291" s="1364"/>
      <c r="J291" s="1363"/>
      <c r="K291" s="1363"/>
      <c r="L291" s="1364"/>
      <c r="M291" s="1363"/>
      <c r="N291" s="1363"/>
      <c r="O291" s="1364"/>
      <c r="P291" s="1363"/>
      <c r="Q291" s="1363"/>
      <c r="R291" s="1364"/>
      <c r="S291" s="1389"/>
      <c r="T291" s="1363"/>
      <c r="U291" s="1364"/>
      <c r="V291" s="1365"/>
      <c r="W291" s="1345"/>
      <c r="X291" s="1342"/>
      <c r="Y291" s="1346"/>
    </row>
    <row r="292" spans="1:25 16384:16384" s="220" customFormat="1" ht="10.4" hidden="1" customHeight="1" thickTop="1" thickBot="1">
      <c r="A292" s="18"/>
      <c r="B292" s="1703" t="str">
        <f>Text!$AK$46</f>
        <v>Umwelt</v>
      </c>
      <c r="C292" s="1704">
        <f>Text!$AM$46</f>
        <v>31</v>
      </c>
      <c r="D292" s="1705" t="str">
        <f>Text!$AP$46</f>
        <v>Klimaschutz</v>
      </c>
      <c r="E292" s="1152"/>
      <c r="F292" s="1337">
        <f>Text!$AQ$46</f>
        <v>311</v>
      </c>
      <c r="G292" s="1390" t="str">
        <f>Text!$AO$46</f>
        <v>THGE Erstellung</v>
      </c>
      <c r="H292" s="1349"/>
      <c r="I292" s="1337">
        <f>Text!$AQ$47</f>
        <v>312</v>
      </c>
      <c r="J292" s="1390" t="str">
        <f>Text!$AO$47</f>
        <v>THGE Betrieb</v>
      </c>
      <c r="K292" s="1349"/>
      <c r="L292" s="1370">
        <f>Text!$AQ$48</f>
        <v>313</v>
      </c>
      <c r="M292" s="1390" t="str">
        <f>Text!$AO$48</f>
        <v>THGE Mobilität</v>
      </c>
      <c r="N292" s="1349"/>
      <c r="O292" s="1375"/>
      <c r="P292" s="1353"/>
      <c r="Q292" s="1349"/>
      <c r="R292" s="1375"/>
      <c r="S292" s="1353"/>
      <c r="T292" s="1349"/>
      <c r="U292" s="1375"/>
      <c r="V292" s="1391"/>
      <c r="W292" s="1392"/>
      <c r="X292" s="1342"/>
      <c r="Y292" s="1346"/>
      <c r="XFD292" s="18"/>
    </row>
    <row r="293" spans="1:25 16384:16384" s="18" customFormat="1" ht="10.4" hidden="1" customHeight="1" thickTop="1" thickBot="1">
      <c r="B293" s="1703"/>
      <c r="C293" s="1704"/>
      <c r="D293" s="1705"/>
      <c r="E293" s="1152"/>
      <c r="F293" s="1375"/>
      <c r="G293" s="1349"/>
      <c r="H293" s="1349"/>
      <c r="I293" s="1383" t="str">
        <f>Text!$AT$46</f>
        <v>K312</v>
      </c>
      <c r="J293" s="1393" t="str">
        <f>Text!$AN$46</f>
        <v>THGE im Klimawandel</v>
      </c>
      <c r="K293" s="1340" t="s">
        <v>1444</v>
      </c>
      <c r="L293" s="1394"/>
      <c r="M293" s="1349"/>
      <c r="N293" s="1349"/>
      <c r="O293" s="1375"/>
      <c r="P293" s="1349"/>
      <c r="Q293" s="1349"/>
      <c r="R293" s="1375"/>
      <c r="S293" s="1395"/>
      <c r="T293" s="1349"/>
      <c r="U293" s="1375"/>
      <c r="V293" s="1391"/>
      <c r="W293" s="1392"/>
      <c r="X293" s="1342"/>
      <c r="Y293" s="1346"/>
    </row>
    <row r="294" spans="1:25 16384:16384" s="220" customFormat="1" ht="10.4" hidden="1" customHeight="1" thickTop="1" thickBot="1">
      <c r="A294" s="18"/>
      <c r="B294" s="1703"/>
      <c r="C294" s="1704">
        <f>Text!$AM$49</f>
        <v>32</v>
      </c>
      <c r="D294" s="1705" t="str">
        <f>Text!$AP$49</f>
        <v>Energie</v>
      </c>
      <c r="E294" s="1152"/>
      <c r="F294" s="1529">
        <f>Text!$AQ$49</f>
        <v>321</v>
      </c>
      <c r="G294" s="1527" t="str">
        <f>Text!$AO$49</f>
        <v>Energiebedarf Erstellung</v>
      </c>
      <c r="H294" s="1349"/>
      <c r="I294" s="1529">
        <f>Text!$AQ$50</f>
        <v>322</v>
      </c>
      <c r="J294" s="1527" t="str">
        <f>Text!$AO$50</f>
        <v>Energiebedarf Betrieb</v>
      </c>
      <c r="K294" s="1349"/>
      <c r="L294" s="1396"/>
      <c r="M294" s="1353"/>
      <c r="N294" s="1349"/>
      <c r="O294" s="1375"/>
      <c r="P294" s="1349"/>
      <c r="Q294" s="1349"/>
      <c r="R294" s="1375"/>
      <c r="S294" s="1349"/>
      <c r="T294" s="1349"/>
      <c r="U294" s="1375"/>
      <c r="V294" s="1391"/>
      <c r="W294" s="1392"/>
      <c r="X294" s="1342"/>
      <c r="Y294" s="1346"/>
      <c r="XFD294" s="18"/>
    </row>
    <row r="295" spans="1:25 16384:16384" s="18" customFormat="1" ht="10.4" hidden="1" customHeight="1" thickTop="1" thickBot="1">
      <c r="B295" s="1703"/>
      <c r="C295" s="1704"/>
      <c r="D295" s="1705"/>
      <c r="E295" s="1152"/>
      <c r="F295" s="1375"/>
      <c r="G295" s="1349"/>
      <c r="H295" s="1349"/>
      <c r="I295" s="1383" t="str">
        <f>Text!$AT$47</f>
        <v>K322</v>
      </c>
      <c r="J295" s="1397" t="str">
        <f>Text!$AN$47</f>
        <v>Betriebsenergie im Klimawandel</v>
      </c>
      <c r="K295" s="1349"/>
      <c r="L295" s="1375"/>
      <c r="M295" s="1349"/>
      <c r="N295" s="1349"/>
      <c r="O295" s="1375"/>
      <c r="P295" s="1349"/>
      <c r="Q295" s="1349"/>
      <c r="R295" s="1375"/>
      <c r="S295" s="1349"/>
      <c r="T295" s="1349"/>
      <c r="U295" s="1375"/>
      <c r="V295" s="1391"/>
      <c r="W295" s="1392"/>
      <c r="X295" s="1342"/>
      <c r="Y295" s="1346"/>
    </row>
    <row r="296" spans="1:25 16384:16384" s="14" customFormat="1" ht="10.4" hidden="1" customHeight="1" thickTop="1" thickBot="1">
      <c r="B296" s="1703"/>
      <c r="C296" s="1704">
        <f>Text!$AM$51</f>
        <v>33</v>
      </c>
      <c r="D296" s="1705" t="str">
        <f>Text!$AP$51</f>
        <v>Ressourcenschonung &amp; Umweltschutz</v>
      </c>
      <c r="E296" s="1152"/>
      <c r="F296" s="1529">
        <f>Text!$AQ$51</f>
        <v>331</v>
      </c>
      <c r="G296" s="1527" t="str">
        <f>Text!$AO$51</f>
        <v>Baustelle</v>
      </c>
      <c r="H296" s="1349"/>
      <c r="I296" s="1337">
        <f>Text!$AQ$52</f>
        <v>332</v>
      </c>
      <c r="J296" s="1390" t="str">
        <f>Text!$AO$52</f>
        <v>Ökologische Baustoffe</v>
      </c>
      <c r="K296" s="1339"/>
      <c r="L296" s="1529">
        <f>Text!$AQ$53</f>
        <v>333</v>
      </c>
      <c r="M296" s="1527" t="str">
        <f>Text!$AO$53</f>
        <v>Systematische Inbetriebnahme</v>
      </c>
      <c r="N296" s="1339"/>
      <c r="O296" s="1370">
        <f>Text!$AQ$54</f>
        <v>334</v>
      </c>
      <c r="P296" s="1390" t="str">
        <f>Text!$AO$54</f>
        <v>Energiemonitoring</v>
      </c>
      <c r="Q296" s="1349"/>
      <c r="R296" s="1370">
        <f>Text!$AQ$55</f>
        <v>335</v>
      </c>
      <c r="S296" s="1390" t="str">
        <f>Text!$AO$55</f>
        <v>Mobilitätsmassnahmen</v>
      </c>
      <c r="T296" s="1339"/>
      <c r="U296" s="1370">
        <f>Text!$AQ$56</f>
        <v>336</v>
      </c>
      <c r="V296" s="1390" t="str">
        <f>Text!$AO$56</f>
        <v>Elektro-Mobilität</v>
      </c>
      <c r="W296" s="1392"/>
      <c r="X296" s="1342"/>
      <c r="Y296" s="1346"/>
    </row>
    <row r="297" spans="1:25 16384:16384" s="14" customFormat="1" ht="10.4" hidden="1" customHeight="1" thickTop="1" thickBot="1">
      <c r="B297" s="1703"/>
      <c r="C297" s="1704"/>
      <c r="D297" s="1705"/>
      <c r="E297" s="1152"/>
      <c r="F297" s="1375"/>
      <c r="G297" s="1349"/>
      <c r="H297" s="1349"/>
      <c r="I297" s="1375"/>
      <c r="J297" s="1349"/>
      <c r="K297" s="1349"/>
      <c r="L297" s="1375"/>
      <c r="M297" s="1349"/>
      <c r="N297" s="1349"/>
      <c r="O297" s="1383" t="str">
        <f>Text!$AT$48</f>
        <v>K334</v>
      </c>
      <c r="P297" s="1397" t="str">
        <f>Text!$AN$48</f>
        <v>Behaglichkeitsmonitoring</v>
      </c>
      <c r="Q297" s="1349"/>
      <c r="R297" s="1349"/>
      <c r="S297" s="1349"/>
      <c r="T297" s="1349"/>
      <c r="U297" s="1349"/>
      <c r="V297" s="1391"/>
      <c r="W297" s="1392"/>
      <c r="X297" s="1342"/>
      <c r="Y297" s="1346"/>
    </row>
    <row r="298" spans="1:25 16384:16384" s="14" customFormat="1" ht="10.4" hidden="1" customHeight="1" thickTop="1" thickBot="1">
      <c r="B298" s="1703"/>
      <c r="C298" s="1704">
        <f>Text!$AM$57</f>
        <v>34</v>
      </c>
      <c r="D298" s="1705" t="str">
        <f>Text!$AP$57</f>
        <v>Natur &amp; Landschaft</v>
      </c>
      <c r="E298" s="1147"/>
      <c r="F298" s="1337">
        <f>Text!$AQ$57</f>
        <v>341</v>
      </c>
      <c r="G298" s="1390" t="str">
        <f>Text!$AO$57</f>
        <v>Biodiversität</v>
      </c>
      <c r="H298" s="1349"/>
      <c r="I298" s="1337">
        <f>Text!$AQ$58</f>
        <v>342</v>
      </c>
      <c r="J298" s="1390" t="str">
        <f>Text!$AO$58</f>
        <v>Wasser</v>
      </c>
      <c r="K298" s="1349"/>
      <c r="L298" s="1529">
        <f>Text!$AQ$59</f>
        <v>343</v>
      </c>
      <c r="M298" s="1527" t="str">
        <f>Text!$AO$59</f>
        <v>Haushälterische Bodennutz.</v>
      </c>
      <c r="N298" s="1349"/>
      <c r="O298" s="1349"/>
      <c r="P298" s="1349"/>
      <c r="Q298" s="1349"/>
      <c r="R298" s="1349"/>
      <c r="S298" s="1349"/>
      <c r="T298" s="1349"/>
      <c r="U298" s="1349"/>
      <c r="V298" s="1391"/>
      <c r="W298" s="1392"/>
      <c r="X298" s="1342"/>
      <c r="Y298" s="1346"/>
    </row>
    <row r="299" spans="1:25 16384:16384" s="1" customFormat="1" ht="10.4" hidden="1" customHeight="1" thickTop="1" thickBot="1">
      <c r="A299" s="82"/>
      <c r="B299" s="1703"/>
      <c r="C299" s="1704"/>
      <c r="D299" s="1705"/>
      <c r="E299" s="1160"/>
      <c r="F299" s="1398"/>
      <c r="G299" s="1398"/>
      <c r="H299" s="1399"/>
      <c r="I299" s="1383" t="str">
        <f>Text!$AT$49</f>
        <v>K342</v>
      </c>
      <c r="J299" s="1397" t="str">
        <f>Text!$AN$49</f>
        <v>Umgebung im Klimawandel</v>
      </c>
      <c r="K299" s="1399"/>
      <c r="L299" s="1399"/>
      <c r="M299" s="1399"/>
      <c r="N299" s="1399"/>
      <c r="O299" s="1399"/>
      <c r="P299" s="1399"/>
      <c r="Q299" s="1399"/>
      <c r="R299" s="1399"/>
      <c r="S299" s="1399"/>
      <c r="T299" s="1399"/>
      <c r="U299" s="1399"/>
      <c r="V299" s="1399"/>
      <c r="W299" s="1400"/>
      <c r="X299" s="1400"/>
      <c r="Y299" s="1400"/>
    </row>
    <row r="300" spans="1:25 16384:16384" s="1" customFormat="1" ht="12.65" hidden="1" customHeight="1" thickTop="1">
      <c r="A300" s="82"/>
      <c r="B300" s="82"/>
      <c r="D300" s="63"/>
      <c r="F300" s="676"/>
      <c r="G300" s="17"/>
      <c r="H300" s="18"/>
      <c r="I300" s="626"/>
      <c r="J300" s="69"/>
      <c r="K300" s="69"/>
      <c r="L300" s="483"/>
      <c r="M300" s="69"/>
      <c r="N300" s="69"/>
      <c r="O300" s="483"/>
      <c r="P300" s="69"/>
      <c r="Q300" s="69"/>
      <c r="R300" s="483"/>
      <c r="S300" s="69"/>
      <c r="T300" s="482"/>
      <c r="U300" s="18"/>
      <c r="V300" s="18"/>
      <c r="X300" s="125"/>
    </row>
    <row r="301" spans="1:25 16384:16384" s="1" customFormat="1" ht="15" hidden="1" customHeight="1">
      <c r="A301" s="82"/>
      <c r="B301" s="82"/>
      <c r="D301" s="1728" t="str">
        <f>Text!C412</f>
        <v>Die Kriterien des ''Klima-Checks'' werden mit in der Grafik oben auf dem Blatt ''Check'' sowie auf dem Blatt ''Results'' angezeigt.</v>
      </c>
      <c r="E301" s="1728"/>
      <c r="F301" s="1728"/>
      <c r="G301" s="1728"/>
      <c r="H301" s="1728"/>
      <c r="I301" s="1728"/>
      <c r="J301" s="1728"/>
      <c r="K301" s="1728"/>
      <c r="L301" s="1728"/>
      <c r="M301" s="1728"/>
      <c r="N301" s="1728"/>
      <c r="O301" s="1728"/>
      <c r="P301" s="1728"/>
      <c r="Q301" s="1728"/>
      <c r="R301" s="1728"/>
      <c r="S301" s="1728"/>
      <c r="T301" s="1728"/>
      <c r="U301" s="1728"/>
      <c r="V301" s="1728"/>
      <c r="W301" s="1728"/>
      <c r="X301" s="1728"/>
    </row>
    <row r="302" spans="1:25 16384:16384" s="90" customFormat="1" ht="20.149999999999999" hidden="1" customHeight="1">
      <c r="C302" s="48"/>
      <c r="O302" s="687"/>
      <c r="W302" s="48"/>
      <c r="X302" s="48"/>
    </row>
    <row r="303" spans="1:25 16384:16384" s="90" customFormat="1" ht="20.149999999999999" hidden="1" customHeight="1">
      <c r="C303" s="48"/>
      <c r="D303" s="88" t="str">
        <f>Text!C330</f>
        <v>Zurück</v>
      </c>
      <c r="E303" s="48"/>
      <c r="F303" s="48"/>
      <c r="H303" s="199"/>
      <c r="I303" s="199"/>
      <c r="J303" s="199"/>
      <c r="K303" s="199"/>
      <c r="L303" s="199"/>
      <c r="M303" s="199"/>
      <c r="N303" s="199"/>
      <c r="O303" s="688"/>
      <c r="P303" s="199"/>
      <c r="Q303" s="199"/>
      <c r="R303" s="200"/>
      <c r="S303" s="48"/>
      <c r="T303" s="48"/>
      <c r="U303" s="48"/>
      <c r="V303" s="89"/>
      <c r="W303" s="48"/>
      <c r="X303" s="48"/>
      <c r="Y303" s="89" t="str">
        <f>Text!C331</f>
        <v>Weiter</v>
      </c>
    </row>
    <row r="304" spans="1:25 16384:16384" s="90" customFormat="1" ht="20.149999999999999" hidden="1" customHeight="1">
      <c r="C304" s="48"/>
      <c r="E304" s="48"/>
      <c r="V304" s="48"/>
      <c r="W304" s="48"/>
      <c r="X304" s="48"/>
    </row>
    <row r="305" spans="1:25" ht="20.149999999999999" hidden="1" customHeight="1">
      <c r="D305" s="1"/>
      <c r="E305" s="1"/>
      <c r="F305" s="1729" t="str">
        <f>Text!C413</f>
        <v>Fragenkatalog Klima-Check</v>
      </c>
      <c r="G305" s="1729"/>
      <c r="H305" s="1729"/>
      <c r="I305" s="1729"/>
      <c r="J305" s="1729"/>
      <c r="K305" s="1729"/>
      <c r="L305" s="1729"/>
      <c r="M305" s="1729"/>
      <c r="N305" s="1729"/>
      <c r="O305" s="1729"/>
      <c r="P305" s="1729"/>
      <c r="Q305" s="1729"/>
      <c r="R305" s="1729"/>
      <c r="S305" s="1729"/>
      <c r="T305" s="1729"/>
      <c r="U305" s="1729"/>
      <c r="V305" s="1729"/>
      <c r="W305" s="1"/>
      <c r="X305" s="1"/>
    </row>
    <row r="306" spans="1:25" ht="20.149999999999999" hidden="1" customHeight="1">
      <c r="E306" s="13"/>
      <c r="F306" s="13"/>
      <c r="G306" s="13"/>
      <c r="H306" s="13"/>
      <c r="I306" s="13"/>
      <c r="J306" s="13"/>
      <c r="K306" s="13"/>
      <c r="L306" s="13"/>
      <c r="M306" s="13"/>
      <c r="N306" s="13"/>
      <c r="O306" s="13"/>
      <c r="P306" s="13"/>
      <c r="Q306" s="13"/>
      <c r="R306" s="13"/>
      <c r="S306" s="13"/>
      <c r="T306" s="13"/>
      <c r="U306" s="13"/>
      <c r="V306" s="13"/>
      <c r="W306" s="13"/>
      <c r="X306" s="13"/>
    </row>
    <row r="307" spans="1:25" s="1" customFormat="1" ht="30" hidden="1" customHeight="1">
      <c r="A307" s="82"/>
      <c r="B307" s="82"/>
      <c r="D307" s="1728" t="str">
        <f>Text!C414</f>
        <v>Der Reduktionsmethode und die Bewertung der Fragen funktionieren beim ''Pre-Check'' und beim ''Klima-Check'' auf ähnliche Weise. Die Fragen, die beim Fragebogen gestellt werden, hängen von der Auswahl des Tools ab, das Sie auf der Startseite "Tool" ausgewählt haben. Sie können das Tool jederzeit über die dafür vorgesehene Schaltfläche im Menü oben auf der Seite wechseln.</v>
      </c>
      <c r="E307" s="1728"/>
      <c r="F307" s="1728"/>
      <c r="G307" s="1728"/>
      <c r="H307" s="1728"/>
      <c r="I307" s="1728"/>
      <c r="J307" s="1728"/>
      <c r="K307" s="1728"/>
      <c r="L307" s="1728"/>
      <c r="M307" s="1728"/>
      <c r="N307" s="1728"/>
      <c r="O307" s="1728"/>
      <c r="P307" s="1728"/>
      <c r="Q307" s="1728"/>
      <c r="R307" s="1728"/>
      <c r="S307" s="1728"/>
      <c r="T307" s="1728"/>
      <c r="U307" s="1728"/>
      <c r="V307" s="1728"/>
      <c r="W307" s="1728"/>
      <c r="X307" s="1728"/>
      <c r="Y307" s="1728"/>
    </row>
    <row r="308" spans="1:25" s="1" customFormat="1" ht="15" hidden="1" customHeight="1">
      <c r="A308" s="82"/>
      <c r="B308" s="82"/>
      <c r="D308" s="1728" t="str">
        <f>Text!C415</f>
        <v>Dieser Teil der Einleitung hilft Ihnen die Funktionsweise des Fragebogens beim ausgewählten Tool zu verstehen.</v>
      </c>
      <c r="E308" s="1728"/>
      <c r="F308" s="1728"/>
      <c r="G308" s="1728"/>
      <c r="H308" s="1728"/>
      <c r="I308" s="1728"/>
      <c r="J308" s="1728"/>
      <c r="K308" s="1728"/>
      <c r="L308" s="1728"/>
      <c r="M308" s="1728"/>
      <c r="N308" s="1728"/>
      <c r="O308" s="1728"/>
      <c r="P308" s="1728"/>
      <c r="Q308" s="1728"/>
      <c r="R308" s="1728"/>
      <c r="S308" s="1728"/>
      <c r="T308" s="1728"/>
      <c r="U308" s="1728"/>
      <c r="V308" s="1728"/>
      <c r="W308" s="1728"/>
      <c r="X308" s="1728"/>
      <c r="Y308" s="1728"/>
    </row>
    <row r="309" spans="1:25" s="1" customFormat="1" ht="15" hidden="1" customHeight="1">
      <c r="A309" s="82"/>
      <c r="B309" s="82"/>
      <c r="D309" s="124"/>
      <c r="E309" s="124"/>
      <c r="F309" s="124"/>
      <c r="G309" s="124"/>
      <c r="H309" s="124"/>
      <c r="I309" s="124"/>
      <c r="J309" s="124"/>
      <c r="K309" s="124"/>
      <c r="L309" s="124"/>
      <c r="M309" s="124"/>
      <c r="N309" s="124"/>
      <c r="O309" s="124"/>
      <c r="P309" s="124"/>
      <c r="Q309" s="124"/>
      <c r="R309" s="124"/>
      <c r="S309" s="124"/>
      <c r="T309" s="124"/>
      <c r="U309" s="124"/>
      <c r="V309" s="124"/>
      <c r="W309" s="124"/>
      <c r="X309" s="124"/>
    </row>
    <row r="310" spans="1:25" s="1" customFormat="1" ht="15" hidden="1" customHeight="1" thickBot="1">
      <c r="A310" s="82"/>
      <c r="B310" s="82"/>
      <c r="D310" s="124"/>
      <c r="E310" s="124"/>
      <c r="F310" s="124"/>
      <c r="G310" s="124"/>
      <c r="H310" s="124"/>
      <c r="I310" s="124"/>
      <c r="J310" s="1725"/>
      <c r="K310" s="1726"/>
      <c r="L310" s="1726"/>
      <c r="M310" s="1726"/>
      <c r="N310" s="1726"/>
      <c r="O310" s="1726"/>
      <c r="P310" s="1727"/>
      <c r="Q310" s="124"/>
      <c r="R310" s="124"/>
      <c r="S310" s="124"/>
      <c r="T310" s="124"/>
      <c r="U310" s="124"/>
      <c r="V310" s="124"/>
      <c r="W310" s="124"/>
      <c r="X310" s="124"/>
    </row>
    <row r="311" spans="1:25" s="1" customFormat="1" ht="15" hidden="1" customHeight="1" thickTop="1">
      <c r="A311" s="82"/>
      <c r="B311" s="82"/>
      <c r="D311" s="124"/>
      <c r="E311" s="124"/>
      <c r="F311" s="124"/>
      <c r="G311" s="124"/>
      <c r="H311" s="124"/>
      <c r="I311" s="124"/>
      <c r="J311" s="763"/>
      <c r="K311" s="763"/>
      <c r="L311" s="763"/>
      <c r="M311" s="763"/>
      <c r="N311" s="763"/>
      <c r="O311" s="763"/>
      <c r="P311" s="763"/>
      <c r="Q311" s="124"/>
      <c r="V311" s="23"/>
    </row>
    <row r="312" spans="1:25" s="1512" customFormat="1" ht="15" hidden="1" customHeight="1" thickBot="1">
      <c r="D312" s="1513"/>
      <c r="E312" s="1513"/>
      <c r="F312" s="1513"/>
      <c r="G312" s="1513"/>
      <c r="H312" s="1513"/>
      <c r="I312" s="1513"/>
      <c r="J312" s="1801" t="s">
        <v>450</v>
      </c>
      <c r="K312" s="1802"/>
      <c r="L312" s="1515"/>
      <c r="M312" s="1801" t="str">
        <f>IF(Tool!$H$7="Français",
"Pre-Check &amp; Check Climat",IF(Tool!$H$7="Italiano",
"Pre-Check &amp; Check Clima",
"Pre-Check &amp; Klima-Check"))</f>
        <v>Pre-Check &amp; Klima-Check</v>
      </c>
      <c r="N312" s="1802"/>
      <c r="O312" s="1515"/>
      <c r="P312" s="1514" t="str">
        <f>IF(Tool!$H$7="Français",
"Check Climat",IF(Tool!$H$7="Italiano",
"Check Clima",
"Klima-Check"))</f>
        <v>Klima-Check</v>
      </c>
      <c r="Q312" s="1513"/>
    </row>
    <row r="313" spans="1:25" s="1" customFormat="1" ht="15" hidden="1" customHeight="1" thickTop="1">
      <c r="A313" s="82"/>
      <c r="B313" s="82"/>
      <c r="D313" s="124"/>
      <c r="E313" s="124"/>
      <c r="F313" s="124"/>
      <c r="G313" s="124"/>
      <c r="H313" s="124"/>
      <c r="I313" s="124"/>
      <c r="J313" s="48"/>
      <c r="K313" s="48"/>
      <c r="L313" s="48"/>
      <c r="M313" s="48"/>
      <c r="N313" s="48"/>
      <c r="O313" s="48"/>
      <c r="P313" s="48"/>
      <c r="Q313" s="124"/>
      <c r="R313" s="124"/>
      <c r="S313" s="48"/>
      <c r="T313" s="124"/>
      <c r="U313" s="124"/>
      <c r="V313" s="124"/>
      <c r="W313" s="124"/>
      <c r="X313" s="124"/>
    </row>
    <row r="314" spans="1:25" s="1" customFormat="1" ht="12" hidden="1" customHeight="1">
      <c r="A314" s="82"/>
      <c r="B314" s="82"/>
      <c r="D314" s="125"/>
      <c r="E314" s="125"/>
      <c r="F314" s="125"/>
      <c r="G314" s="125"/>
      <c r="H314" s="125"/>
      <c r="I314" s="125"/>
      <c r="J314" s="1800" t="str">
        <f>IF(OR(J310=M312,J310=P312),"","↑")</f>
        <v>↑</v>
      </c>
      <c r="K314" s="1800"/>
      <c r="L314" s="1800"/>
      <c r="M314" s="1800"/>
      <c r="N314" s="1800"/>
      <c r="O314" s="1800"/>
      <c r="P314" s="1800"/>
      <c r="Q314" s="125"/>
      <c r="S314" s="11"/>
    </row>
    <row r="315" spans="1:25" s="1" customFormat="1" ht="12" hidden="1" customHeight="1">
      <c r="A315" s="82"/>
      <c r="B315" s="82"/>
      <c r="D315" s="125"/>
      <c r="E315" s="125"/>
      <c r="F315" s="125"/>
      <c r="G315" s="125"/>
      <c r="H315" s="125"/>
      <c r="I315" s="125"/>
      <c r="J315" s="1731" t="str">
        <f>IF(OR(J310=M312,J310=P312),"",Text!C417&amp;" "&amp;Text!C418)</f>
        <v>Lesen Sie bitte die Informationen und wählen Sie dann die Antwort aus.</v>
      </c>
      <c r="K315" s="1731"/>
      <c r="L315" s="1731"/>
      <c r="M315" s="1731"/>
      <c r="N315" s="1731"/>
      <c r="O315" s="1731"/>
      <c r="P315" s="1731"/>
      <c r="Q315" s="125"/>
      <c r="S315" s="11"/>
    </row>
    <row r="316" spans="1:25" s="1" customFormat="1" hidden="1">
      <c r="A316" s="82"/>
      <c r="B316" s="82"/>
      <c r="S316" s="186" t="str">
        <f>IF(J310=P312,Text!C421,"")</f>
        <v/>
      </c>
    </row>
    <row r="317" spans="1:25" s="1192" customFormat="1" ht="29.15" hidden="1" customHeight="1">
      <c r="B317" s="1190"/>
      <c r="C317" s="1203"/>
      <c r="D317" s="1724" t="str">
        <f>IF(OR($J$310="Klima-Check",$J$310="Check Clima",$J$310="Check Climat"),"",Text!C196)</f>
        <v>Wurden explizite Massnahmen zur Stabilisierung oder Verringerung des Flächenverbrauchs pro Person getroffen?</v>
      </c>
      <c r="E317" s="1724"/>
      <c r="F317" s="1724"/>
      <c r="G317" s="1724"/>
      <c r="H317" s="1724"/>
      <c r="I317" s="1724"/>
      <c r="J317" s="1724"/>
      <c r="K317" s="1724"/>
      <c r="L317" s="1724"/>
      <c r="M317" s="1724"/>
      <c r="N317" s="1724"/>
      <c r="O317" s="1724"/>
      <c r="P317" s="1724"/>
      <c r="Q317" s="124"/>
      <c r="R317" s="1"/>
      <c r="S317" s="1"/>
      <c r="T317" s="1"/>
      <c r="U317" s="1"/>
      <c r="V317" s="1198">
        <f>IF(OR($J$310="Klima-Check",$J$310="Check Clima",$J$310="Check Climat"),"",Text!B196)</f>
        <v>222</v>
      </c>
      <c r="W317" s="1198"/>
      <c r="X317" s="1198"/>
      <c r="Y317" s="1201"/>
    </row>
    <row r="318" spans="1:25" s="1192" customFormat="1" hidden="1">
      <c r="B318" s="1190"/>
      <c r="C318" s="1191"/>
      <c r="D318" s="1724"/>
      <c r="E318" s="1724"/>
      <c r="F318" s="1724"/>
      <c r="G318" s="1724"/>
      <c r="H318" s="1724"/>
      <c r="I318" s="1724"/>
      <c r="J318" s="1724"/>
      <c r="K318" s="1724"/>
      <c r="L318" s="1724"/>
      <c r="M318" s="1724"/>
      <c r="N318" s="1724"/>
      <c r="O318" s="1724"/>
      <c r="P318" s="1724"/>
      <c r="Q318" s="124"/>
      <c r="R318" s="1"/>
      <c r="S318" s="9"/>
      <c r="T318" s="1"/>
      <c r="U318" s="1"/>
    </row>
    <row r="319" spans="1:25" s="1" customFormat="1" hidden="1">
      <c r="A319" s="82"/>
      <c r="B319" s="82"/>
      <c r="S319" s="486"/>
    </row>
    <row r="320" spans="1:25" s="1" customFormat="1" hidden="1">
      <c r="A320" s="82"/>
      <c r="B320" s="82"/>
      <c r="D320" s="82"/>
      <c r="E320" s="82"/>
      <c r="F320" s="82"/>
      <c r="G320" s="82"/>
      <c r="H320" s="82"/>
      <c r="I320" s="82"/>
      <c r="J320" s="82"/>
      <c r="K320" s="82"/>
      <c r="L320" s="82"/>
      <c r="M320" s="82"/>
      <c r="N320" s="82"/>
      <c r="O320" s="82"/>
      <c r="P320" s="82"/>
      <c r="Q320" s="82"/>
      <c r="R320" s="82"/>
      <c r="T320" s="82"/>
      <c r="U320" s="82"/>
      <c r="V320" s="186"/>
      <c r="W320" s="82"/>
      <c r="X320" s="82"/>
      <c r="Y320" s="82"/>
    </row>
    <row r="321" spans="1:25" s="1192" customFormat="1" ht="15" hidden="1" customHeight="1">
      <c r="A321" s="1516"/>
      <c r="B321" s="1516"/>
      <c r="D321" s="1724" t="str">
        <f>Text!C200</f>
        <v>Besteht ein baulich und technisch umsetzbares Konzept, welches hohe Flexibilität sowie Variabilität in der Nutzung und im Ausbau des Gebäudes erlaubt?</v>
      </c>
      <c r="E321" s="1724"/>
      <c r="F321" s="1724"/>
      <c r="G321" s="1724"/>
      <c r="H321" s="1724"/>
      <c r="I321" s="1724"/>
      <c r="J321" s="1724"/>
      <c r="K321" s="1724"/>
      <c r="L321" s="1724"/>
      <c r="M321" s="1724"/>
      <c r="N321" s="1724"/>
      <c r="O321" s="1724"/>
      <c r="P321" s="1724"/>
      <c r="Q321" s="1"/>
      <c r="R321" s="1"/>
      <c r="S321" s="129"/>
      <c r="T321" s="1"/>
      <c r="U321" s="1"/>
      <c r="V321" s="1202">
        <f>Text!B200</f>
        <v>223</v>
      </c>
      <c r="W321" s="1198"/>
      <c r="X321" s="1198"/>
      <c r="Y321" s="1198"/>
    </row>
    <row r="322" spans="1:25" s="1192" customFormat="1" hidden="1">
      <c r="A322" s="1516"/>
      <c r="B322" s="1516"/>
      <c r="D322" s="1724"/>
      <c r="E322" s="1724"/>
      <c r="F322" s="1724"/>
      <c r="G322" s="1724"/>
      <c r="H322" s="1724"/>
      <c r="I322" s="1724"/>
      <c r="J322" s="1724"/>
      <c r="K322" s="1724"/>
      <c r="L322" s="1724"/>
      <c r="M322" s="1724"/>
      <c r="N322" s="1724"/>
      <c r="O322" s="1724"/>
      <c r="P322" s="1724"/>
      <c r="Q322" s="1"/>
      <c r="R322" s="1"/>
      <c r="S322" s="9"/>
      <c r="T322" s="1"/>
      <c r="U322" s="1"/>
      <c r="V322" s="1516"/>
      <c r="W322" s="1198"/>
      <c r="X322" s="1516"/>
      <c r="Y322" s="1516"/>
    </row>
    <row r="323" spans="1:25" s="1" customFormat="1" hidden="1">
      <c r="A323" s="82"/>
      <c r="B323" s="82"/>
      <c r="E323" s="188"/>
      <c r="F323" s="188"/>
      <c r="G323" s="188"/>
      <c r="I323" s="486" t="str">
        <f>IF(OR(J310=J312,J310="",P312=J310),"",Text!C422)</f>
        <v/>
      </c>
      <c r="J323" s="188"/>
      <c r="V323" s="486" t="str">
        <f>IF(OR(J310=P312,M312=J310),Text!C419,"")</f>
        <v/>
      </c>
    </row>
    <row r="324" spans="1:25" s="1" customFormat="1" hidden="1">
      <c r="A324" s="82"/>
      <c r="B324" s="82"/>
      <c r="E324" s="188"/>
      <c r="F324" s="188"/>
      <c r="G324" s="188"/>
      <c r="I324" s="485" t="str">
        <f>IF(J310=P312,"↓","")</f>
        <v/>
      </c>
      <c r="S324" s="485"/>
      <c r="V324" s="765" t="str">
        <f>IF(OR(J310=P312,M312=J310),"       ↓","")</f>
        <v/>
      </c>
    </row>
    <row r="325" spans="1:25" s="1192" customFormat="1" ht="30" hidden="1" customHeight="1">
      <c r="A325" s="1516"/>
      <c r="B325" s="1516"/>
      <c r="D325" s="1724" t="str">
        <f>IF($J$310="Pre-Check","",Text!C204)</f>
        <v>Ist das Bauvorhaben so konzipiert, dass es den zunehmend wechselnden Bedingungen im Klimawandel angemessen anpassen lässt? (saisonal flexible Nutzung von Räumlichkeiten, flexible technische Infrastruktur und konzeptioneller Schutz vor Witterungseinflüssen im Aussenraum)</v>
      </c>
      <c r="E325" s="1724"/>
      <c r="F325" s="1724"/>
      <c r="G325" s="1724"/>
      <c r="H325" s="1724"/>
      <c r="I325" s="1724"/>
      <c r="J325" s="1724"/>
      <c r="K325" s="1724"/>
      <c r="L325" s="1724"/>
      <c r="M325" s="1724"/>
      <c r="N325" s="1724"/>
      <c r="O325" s="1724"/>
      <c r="P325" s="1724"/>
      <c r="Q325" s="1724"/>
      <c r="R325" s="1"/>
      <c r="S325" s="1"/>
      <c r="T325" s="1"/>
      <c r="U325" s="1"/>
      <c r="V325" s="1198" t="str">
        <f>IF($J$310="Pre-Check","",Text!B204)</f>
        <v>K223</v>
      </c>
    </row>
    <row r="326" spans="1:25" s="1192" customFormat="1" hidden="1">
      <c r="A326" s="1516"/>
      <c r="B326" s="1516"/>
      <c r="D326" s="1724"/>
      <c r="E326" s="1724"/>
      <c r="F326" s="1724"/>
      <c r="G326" s="1724"/>
      <c r="H326" s="1724"/>
      <c r="I326" s="1724"/>
      <c r="J326" s="1724"/>
      <c r="K326" s="1724"/>
      <c r="L326" s="1724"/>
      <c r="M326" s="1724"/>
      <c r="N326" s="1724"/>
      <c r="O326" s="1724"/>
      <c r="P326" s="1724"/>
      <c r="Q326" s="1724"/>
      <c r="R326" s="1"/>
      <c r="S326" s="9"/>
      <c r="T326" s="1"/>
      <c r="U326" s="1"/>
    </row>
    <row r="327" spans="1:25" s="1" customFormat="1" hidden="1">
      <c r="A327" s="82"/>
      <c r="B327" s="82"/>
      <c r="S327" s="485" t="str">
        <f>IF(AND(S326=Text!AQ5,J310&lt;&gt;J312),Text!C423,IF(OR(J310=P312,J310=M312),"↑",""))</f>
        <v/>
      </c>
    </row>
    <row r="328" spans="1:25" s="1" customFormat="1" hidden="1">
      <c r="A328" s="82"/>
      <c r="B328" s="82"/>
      <c r="S328" s="485" t="str">
        <f>IF(AND(S326=Text!AQ5,J310&lt;&gt;J312),"↓",IF(OR(J310=P312,J310=M312),Text!C355,""))</f>
        <v/>
      </c>
    </row>
    <row r="329" spans="1:25" s="1192" customFormat="1" ht="15.75" hidden="1" customHeight="1">
      <c r="A329" s="1516"/>
      <c r="B329" s="1516"/>
      <c r="D329" s="1724" t="str">
        <f>Text!C205</f>
        <v>Sind die Grundrisse so konzipiert, dass sie auch saisonale Nutzungsverschiebungen erlauben? (z. B. Aufenthalt in helle nordgerichtete Räume im Sommer sowie in warme südgerichtete Räume im Winter)</v>
      </c>
      <c r="E329" s="1724"/>
      <c r="F329" s="1724"/>
      <c r="G329" s="1724"/>
      <c r="H329" s="1724"/>
      <c r="I329" s="1724"/>
      <c r="J329" s="1724"/>
      <c r="K329" s="1724"/>
      <c r="L329" s="1724"/>
      <c r="M329" s="1724"/>
      <c r="N329" s="1724"/>
      <c r="O329" s="1724"/>
      <c r="P329" s="1724"/>
      <c r="Q329" s="1724"/>
      <c r="R329" s="1"/>
      <c r="S329" s="1"/>
      <c r="T329" s="1"/>
      <c r="U329" s="1"/>
      <c r="V329" s="1198" t="str">
        <f>IF($J$310="Pre-Check","",Text!B204&amp;".A")</f>
        <v>K223.A</v>
      </c>
    </row>
    <row r="330" spans="1:25" s="1192" customFormat="1" hidden="1">
      <c r="A330" s="1516"/>
      <c r="B330" s="1516"/>
      <c r="D330" s="1724"/>
      <c r="E330" s="1724"/>
      <c r="F330" s="1724"/>
      <c r="G330" s="1724"/>
      <c r="H330" s="1724"/>
      <c r="I330" s="1724"/>
      <c r="J330" s="1724"/>
      <c r="K330" s="1724"/>
      <c r="L330" s="1724"/>
      <c r="M330" s="1724"/>
      <c r="N330" s="1724"/>
      <c r="O330" s="1724"/>
      <c r="P330" s="1724"/>
      <c r="Q330" s="1724"/>
      <c r="R330" s="1"/>
      <c r="S330" s="9"/>
      <c r="T330" s="1"/>
      <c r="U330" s="1"/>
    </row>
    <row r="331" spans="1:25" s="1" customFormat="1" ht="15" hidden="1" customHeight="1">
      <c r="A331" s="82"/>
      <c r="B331" s="82"/>
    </row>
    <row r="332" spans="1:25" s="1192" customFormat="1" ht="15" hidden="1" customHeight="1">
      <c r="A332" s="1516"/>
      <c r="B332" s="1516"/>
      <c r="D332" s="1724" t="str">
        <f>Text!C206</f>
        <v>Ist die technische Infrastruktur des Gebäudes flexibel genug gestaltet, um sich an Nutzungsverschiebungen im Kontext des Klimawandels anzupassen?</v>
      </c>
      <c r="E332" s="1724"/>
      <c r="F332" s="1724"/>
      <c r="G332" s="1724"/>
      <c r="H332" s="1724"/>
      <c r="I332" s="1724"/>
      <c r="J332" s="1724"/>
      <c r="K332" s="1724"/>
      <c r="L332" s="1724"/>
      <c r="M332" s="1724"/>
      <c r="N332" s="1724"/>
      <c r="O332" s="1724"/>
      <c r="P332" s="1724"/>
      <c r="Q332" s="1724"/>
      <c r="R332" s="1"/>
      <c r="S332" s="1"/>
      <c r="T332" s="1"/>
      <c r="U332" s="1"/>
      <c r="V332" s="1198" t="str">
        <f>IF($J$310="Pre-Check","",Text!B204&amp;".B")</f>
        <v>K223.B</v>
      </c>
    </row>
    <row r="333" spans="1:25" s="1192" customFormat="1" ht="15" hidden="1" customHeight="1">
      <c r="A333" s="1516"/>
      <c r="B333" s="1516"/>
      <c r="D333" s="1724"/>
      <c r="E333" s="1724"/>
      <c r="F333" s="1724"/>
      <c r="G333" s="1724"/>
      <c r="H333" s="1724"/>
      <c r="I333" s="1724"/>
      <c r="J333" s="1724"/>
      <c r="K333" s="1724"/>
      <c r="L333" s="1724"/>
      <c r="M333" s="1724"/>
      <c r="N333" s="1724"/>
      <c r="O333" s="1724"/>
      <c r="P333" s="1724"/>
      <c r="Q333" s="1724"/>
      <c r="R333" s="1"/>
      <c r="S333" s="9"/>
      <c r="T333" s="1"/>
      <c r="U333" s="1"/>
    </row>
    <row r="334" spans="1:25" s="1" customFormat="1" ht="15" hidden="1" customHeight="1">
      <c r="A334" s="82"/>
      <c r="B334" s="82"/>
    </row>
    <row r="335" spans="1:25" s="1192" customFormat="1" ht="15" hidden="1" customHeight="1">
      <c r="A335" s="1516"/>
      <c r="B335" s="1516"/>
      <c r="D335" s="1724" t="str">
        <f>Text!C207</f>
        <v>Weist das Bauvorhaben genügend private Aussenräume auf, die eine Aufenthaltsmöglichkeit im Freien sowohl bei Unwettern (Schutz vor starken Regenfällen) als auch in Hitzeperioden (effizienter Sonnenschutz) erlaubt?</v>
      </c>
      <c r="E335" s="1724"/>
      <c r="F335" s="1724"/>
      <c r="G335" s="1724"/>
      <c r="H335" s="1724"/>
      <c r="I335" s="1724"/>
      <c r="J335" s="1724"/>
      <c r="K335" s="1724"/>
      <c r="L335" s="1724"/>
      <c r="M335" s="1724"/>
      <c r="N335" s="1724"/>
      <c r="O335" s="1724"/>
      <c r="P335" s="1724"/>
      <c r="Q335" s="1724"/>
      <c r="R335" s="1"/>
      <c r="S335" s="994"/>
      <c r="T335" s="1"/>
      <c r="U335" s="1"/>
      <c r="V335" s="1198" t="str">
        <f>IF($J$310="Pre-Check","",Text!B204&amp;".C")</f>
        <v>K223.C</v>
      </c>
    </row>
    <row r="336" spans="1:25" s="1192" customFormat="1" ht="15" hidden="1" customHeight="1">
      <c r="A336" s="1516"/>
      <c r="B336" s="1516"/>
      <c r="D336" s="1724"/>
      <c r="E336" s="1724"/>
      <c r="F336" s="1724"/>
      <c r="G336" s="1724"/>
      <c r="H336" s="1724"/>
      <c r="I336" s="1724"/>
      <c r="J336" s="1724"/>
      <c r="K336" s="1724"/>
      <c r="L336" s="1724"/>
      <c r="M336" s="1724"/>
      <c r="N336" s="1724"/>
      <c r="O336" s="1724"/>
      <c r="P336" s="1724"/>
      <c r="Q336" s="1724"/>
      <c r="R336" s="1"/>
      <c r="S336" s="9"/>
      <c r="T336" s="1"/>
      <c r="U336" s="1"/>
    </row>
    <row r="337" spans="1:33" s="90" customFormat="1" ht="20.149999999999999" hidden="1" customHeight="1">
      <c r="C337" s="48"/>
      <c r="W337" s="48"/>
      <c r="X337" s="48"/>
    </row>
    <row r="338" spans="1:33" s="90" customFormat="1" ht="20.149999999999999" hidden="1" customHeight="1">
      <c r="C338" s="48"/>
      <c r="D338" s="88" t="str">
        <f>Text!C330</f>
        <v>Zurück</v>
      </c>
      <c r="E338" s="48"/>
      <c r="F338" s="48"/>
      <c r="H338" s="199"/>
      <c r="I338" s="199"/>
      <c r="J338" s="199"/>
      <c r="K338" s="199"/>
      <c r="L338" s="199"/>
      <c r="M338" s="199"/>
      <c r="N338" s="199"/>
      <c r="O338" s="199"/>
      <c r="P338" s="199"/>
      <c r="Q338" s="199"/>
      <c r="R338" s="200"/>
      <c r="S338" s="48"/>
      <c r="T338" s="48"/>
      <c r="U338" s="48"/>
      <c r="V338" s="89"/>
      <c r="W338" s="48"/>
      <c r="X338" s="48"/>
      <c r="Y338" s="89" t="str">
        <f>Text!C331</f>
        <v>Weiter</v>
      </c>
    </row>
    <row r="339" spans="1:33" s="90" customFormat="1" ht="20.149999999999999" hidden="1" customHeight="1">
      <c r="C339" s="48"/>
      <c r="D339" s="762"/>
      <c r="E339" s="48"/>
      <c r="V339" s="48"/>
      <c r="W339" s="48"/>
      <c r="X339" s="48"/>
    </row>
    <row r="340" spans="1:33" ht="20.149999999999999" hidden="1" customHeight="1">
      <c r="D340" s="1"/>
      <c r="E340" s="1"/>
      <c r="F340" s="1729" t="str">
        <f>Text!C424</f>
        <v>Ergebnisdarstellung zum ''Klima-Check''</v>
      </c>
      <c r="G340" s="1729"/>
      <c r="H340" s="1729"/>
      <c r="I340" s="1729"/>
      <c r="J340" s="1729"/>
      <c r="K340" s="1729"/>
      <c r="L340" s="1729"/>
      <c r="M340" s="1729"/>
      <c r="N340" s="1729"/>
      <c r="O340" s="1729"/>
      <c r="P340" s="1729"/>
      <c r="Q340" s="1729"/>
      <c r="R340" s="1729"/>
      <c r="S340" s="1729"/>
      <c r="T340" s="1729"/>
      <c r="U340" s="1729"/>
      <c r="V340" s="1729"/>
      <c r="W340" s="1"/>
      <c r="X340" s="1"/>
    </row>
    <row r="341" spans="1:33" ht="20.149999999999999" hidden="1" customHeight="1">
      <c r="E341" s="13"/>
      <c r="F341" s="13"/>
      <c r="G341" s="13"/>
      <c r="H341" s="13"/>
      <c r="I341" s="13"/>
      <c r="J341" s="13"/>
      <c r="K341" s="13"/>
      <c r="L341" s="13"/>
      <c r="M341" s="13"/>
      <c r="N341" s="13"/>
      <c r="O341" s="13"/>
      <c r="P341" s="13"/>
      <c r="Q341" s="13"/>
      <c r="R341" s="13"/>
      <c r="S341" s="13"/>
      <c r="T341" s="13"/>
      <c r="U341" s="13"/>
      <c r="V341" s="13"/>
      <c r="W341" s="13"/>
      <c r="X341" s="13"/>
    </row>
    <row r="342" spans="1:33" s="1" customFormat="1" ht="45" hidden="1" customHeight="1">
      <c r="A342" s="82"/>
      <c r="B342" s="82"/>
      <c r="D342" s="1734" t="str">
        <f>Text!C425</f>
        <v>Die Ergebnisse zum ''Klima-Check'' werden auf einem eigenständigen Ergebnisblatt dargestellt. Wie beim ''Pre-Check'' werden die Kriterien als ''Stolpersteine'', ''ungenügend'', ''genügend'' oder ''gut'' dargestellt. Die Kriterien des ''Klima-Check'' sind, wie die ''Pre-Check''-Kriterien, den drei Nachhaltigkeitsbereichen Gesellschaft, Wirtschaft und Umwelt zugeordnet. Ein prozentualer Erfüllungsgrad der Klima-Anforderungen ist auf der linken Seite der Darstellung für den jeweiligen Bereich in horizontaler Balkenform ersichtlich.</v>
      </c>
      <c r="E342" s="1734"/>
      <c r="F342" s="1734"/>
      <c r="G342" s="1734"/>
      <c r="H342" s="1734"/>
      <c r="I342" s="1734"/>
      <c r="J342" s="1734"/>
      <c r="K342" s="1734"/>
      <c r="L342" s="1734"/>
      <c r="M342" s="1734"/>
      <c r="N342" s="1734"/>
      <c r="O342" s="1734"/>
      <c r="P342" s="1734"/>
      <c r="Q342" s="1734"/>
      <c r="R342" s="1734"/>
      <c r="S342" s="1734"/>
      <c r="T342" s="1734"/>
      <c r="U342" s="1734"/>
      <c r="V342" s="1734"/>
      <c r="W342" s="1734"/>
      <c r="X342" s="1734"/>
      <c r="Y342" s="1734"/>
    </row>
    <row r="343" spans="1:33" s="1" customFormat="1" ht="15" hidden="1" customHeight="1">
      <c r="A343" s="82"/>
      <c r="B343" s="82"/>
      <c r="D343" s="1728" t="str">
        <f>Text!C426</f>
        <v>Die Berechnung des Erfüllungsgrads ist mit derjenigen beim ''Pre-Check'' vergleichbar und wurde im Abschnitt ''Bewertungsmechanismus'' detailliert erklärt.</v>
      </c>
      <c r="E343" s="1728"/>
      <c r="F343" s="1728"/>
      <c r="G343" s="1728"/>
      <c r="H343" s="1728"/>
      <c r="I343" s="1728"/>
      <c r="J343" s="1728"/>
      <c r="K343" s="1728"/>
      <c r="L343" s="1728"/>
      <c r="M343" s="1728"/>
      <c r="N343" s="1728"/>
      <c r="O343" s="1728"/>
      <c r="P343" s="1728"/>
      <c r="Q343" s="1728"/>
      <c r="R343" s="1728"/>
      <c r="S343" s="1728"/>
      <c r="T343" s="1728"/>
      <c r="U343" s="1728"/>
      <c r="V343" s="1728"/>
      <c r="W343" s="1728"/>
      <c r="X343" s="1728"/>
      <c r="Y343" s="1728"/>
    </row>
    <row r="344" spans="1:33" s="1" customFormat="1" hidden="1">
      <c r="A344" s="82"/>
      <c r="B344" s="1561"/>
      <c r="C344" s="1561"/>
      <c r="D344" s="1561"/>
      <c r="E344" s="1561"/>
      <c r="F344" s="1561"/>
      <c r="G344" s="1561"/>
      <c r="H344" s="1561"/>
      <c r="I344" s="1561"/>
      <c r="J344" s="1561"/>
      <c r="K344" s="1271"/>
      <c r="L344" s="1271"/>
      <c r="M344" s="1572"/>
      <c r="N344" s="1561"/>
      <c r="O344" s="1561"/>
      <c r="P344" s="1561"/>
      <c r="Q344" s="1561"/>
      <c r="R344" s="1561"/>
      <c r="S344" s="1561"/>
      <c r="T344" s="1561"/>
      <c r="U344" s="1561"/>
      <c r="V344" s="1573"/>
      <c r="W344" s="1573"/>
      <c r="X344" s="1573"/>
      <c r="Y344" s="1573"/>
      <c r="Z344" s="1573"/>
      <c r="AA344" s="1573"/>
      <c r="AB344" s="1269"/>
      <c r="AC344" s="1269"/>
      <c r="AD344" s="1269"/>
      <c r="AE344" s="1269"/>
      <c r="AF344" s="1271"/>
      <c r="AG344" s="1574"/>
    </row>
    <row r="345" spans="1:33" s="1561" customFormat="1" ht="10.4" hidden="1" customHeight="1">
      <c r="A345" s="1269"/>
      <c r="B345"/>
      <c r="C345"/>
      <c r="D345"/>
      <c r="E345"/>
      <c r="F345"/>
      <c r="G345"/>
      <c r="H345"/>
      <c r="I345"/>
      <c r="J345"/>
      <c r="K345" s="1424"/>
      <c r="L345" s="1424"/>
      <c r="M345" s="1577"/>
      <c r="N345"/>
      <c r="O345"/>
      <c r="P345"/>
      <c r="Q345"/>
      <c r="R345"/>
      <c r="S345"/>
      <c r="T345"/>
      <c r="U345"/>
      <c r="V345" s="1267"/>
      <c r="W345" s="1267"/>
      <c r="X345" s="1267"/>
      <c r="Y345" s="1267"/>
      <c r="Z345" s="1267"/>
      <c r="AA345" s="1267"/>
      <c r="AB345" s="1739"/>
      <c r="AC345" s="1739"/>
      <c r="AD345" s="1739"/>
      <c r="AE345" s="1739"/>
      <c r="AF345" s="1424"/>
      <c r="AG345" s="1578"/>
    </row>
    <row r="346" spans="1:33" s="1561" customFormat="1" ht="2.15" hidden="1" customHeight="1">
      <c r="A346" s="1269"/>
      <c r="B346"/>
      <c r="C346"/>
      <c r="D346"/>
      <c r="E346"/>
      <c r="F346"/>
      <c r="G346"/>
      <c r="H346"/>
      <c r="I346"/>
      <c r="J346"/>
      <c r="K346"/>
      <c r="L346"/>
      <c r="M346" s="1577"/>
      <c r="N346"/>
      <c r="O346"/>
      <c r="P346"/>
      <c r="Q346"/>
      <c r="R346"/>
      <c r="S346"/>
      <c r="T346"/>
      <c r="U346"/>
      <c r="V346" s="1267"/>
      <c r="W346" s="1267"/>
      <c r="X346" s="1267"/>
      <c r="Y346" s="1267"/>
      <c r="Z346" s="1267"/>
      <c r="AA346" s="1267"/>
      <c r="AB346"/>
      <c r="AC346"/>
      <c r="AD346"/>
      <c r="AE346" s="1267"/>
      <c r="AF346"/>
      <c r="AG346" s="1267"/>
    </row>
    <row r="347" spans="1:33" s="1561" customFormat="1" ht="10.4" hidden="1" customHeight="1">
      <c r="A347" s="1269"/>
      <c r="B347"/>
      <c r="C347"/>
      <c r="D347"/>
      <c r="E347"/>
      <c r="F347"/>
      <c r="G347"/>
      <c r="H347"/>
      <c r="I347"/>
      <c r="J347"/>
      <c r="K347" s="1424"/>
      <c r="L347" s="1424"/>
      <c r="M347" s="1577"/>
      <c r="N347"/>
      <c r="O347"/>
      <c r="P347"/>
      <c r="Q347"/>
      <c r="R347"/>
      <c r="S347"/>
      <c r="T347"/>
      <c r="U347"/>
      <c r="V347" s="1267"/>
      <c r="W347" s="1267"/>
      <c r="X347" s="1267"/>
      <c r="Y347" s="1267"/>
      <c r="Z347" s="1267"/>
      <c r="AA347" s="1267"/>
      <c r="AB347" s="1740"/>
      <c r="AC347" s="1740"/>
      <c r="AD347" s="1740"/>
      <c r="AE347"/>
      <c r="AF347" s="1424"/>
      <c r="AG347"/>
    </row>
    <row r="348" spans="1:33" s="1561" customFormat="1" ht="2.15" hidden="1" customHeight="1">
      <c r="A348" s="1269"/>
      <c r="B348"/>
      <c r="C348"/>
      <c r="D348"/>
      <c r="E348"/>
      <c r="F348"/>
      <c r="G348"/>
      <c r="H348"/>
      <c r="I348"/>
      <c r="J348"/>
      <c r="K348" s="1424"/>
      <c r="L348" s="1424"/>
      <c r="M348" s="1577"/>
      <c r="N348"/>
      <c r="O348"/>
      <c r="P348"/>
      <c r="Q348"/>
      <c r="R348"/>
      <c r="S348"/>
      <c r="T348"/>
      <c r="U348"/>
      <c r="V348" s="1267"/>
      <c r="W348" s="1267"/>
      <c r="X348" s="1267"/>
      <c r="Y348" s="1267"/>
      <c r="Z348" s="1267"/>
      <c r="AA348" s="1267"/>
      <c r="AB348" s="1579"/>
      <c r="AC348"/>
      <c r="AD348"/>
      <c r="AE348"/>
      <c r="AF348" s="1424"/>
      <c r="AG348"/>
    </row>
    <row r="349" spans="1:33" s="1561" customFormat="1" ht="10.4" hidden="1" customHeight="1">
      <c r="A349" s="1269"/>
      <c r="B349"/>
      <c r="C349"/>
      <c r="D349"/>
      <c r="E349"/>
      <c r="F349"/>
      <c r="G349"/>
      <c r="H349"/>
      <c r="I349"/>
      <c r="J349"/>
      <c r="K349" s="1424"/>
      <c r="L349" s="1424"/>
      <c r="M349" s="1577"/>
      <c r="N349"/>
      <c r="O349"/>
      <c r="P349"/>
      <c r="Q349"/>
      <c r="R349"/>
      <c r="S349"/>
      <c r="T349"/>
      <c r="U349"/>
      <c r="V349" s="1268"/>
      <c r="W349" s="1268"/>
      <c r="X349"/>
      <c r="Y349" s="1269"/>
      <c r="Z349" s="1269"/>
      <c r="AA349" s="1269"/>
      <c r="AB349" s="1741"/>
      <c r="AC349" s="1741"/>
      <c r="AD349" s="1741"/>
      <c r="AE349"/>
      <c r="AF349" s="1424"/>
      <c r="AG349"/>
    </row>
    <row r="350" spans="1:33" s="1561" customFormat="1" ht="10.4" hidden="1" customHeight="1">
      <c r="A350" s="1269"/>
      <c r="B350"/>
      <c r="C350"/>
      <c r="D350"/>
      <c r="E350"/>
      <c r="F350"/>
      <c r="G350"/>
      <c r="H350"/>
      <c r="I350"/>
      <c r="J350"/>
      <c r="K350" s="1424"/>
      <c r="L350" s="1424"/>
      <c r="M350" s="1577"/>
      <c r="N350"/>
      <c r="O350" s="1422"/>
      <c r="P350"/>
      <c r="Q350"/>
      <c r="R350"/>
      <c r="S350"/>
      <c r="T350"/>
      <c r="U350"/>
      <c r="V350"/>
      <c r="W350"/>
      <c r="X350"/>
      <c r="Y350"/>
      <c r="Z350"/>
      <c r="AA350"/>
      <c r="AB350" s="1579"/>
      <c r="AC350"/>
      <c r="AD350"/>
      <c r="AE350"/>
      <c r="AF350" s="1424"/>
      <c r="AG350"/>
    </row>
    <row r="351" spans="1:33" s="1561" customFormat="1" ht="2.15" hidden="1" customHeight="1">
      <c r="A351" s="1269"/>
      <c r="B351"/>
      <c r="C351"/>
      <c r="D351"/>
      <c r="E351"/>
      <c r="F351"/>
      <c r="G351"/>
      <c r="H351"/>
      <c r="I351"/>
      <c r="J351"/>
      <c r="K351" s="1424"/>
      <c r="L351" s="1424"/>
      <c r="M351" s="1577"/>
      <c r="N351"/>
      <c r="O351"/>
      <c r="P351"/>
      <c r="Q351"/>
      <c r="R351"/>
      <c r="S351"/>
      <c r="T351"/>
      <c r="U351"/>
      <c r="V351" s="1270"/>
      <c r="W351" s="1270"/>
      <c r="X351"/>
      <c r="Y351" s="1271"/>
      <c r="Z351" s="1271"/>
      <c r="AA351"/>
      <c r="AB351" s="1742"/>
      <c r="AC351" s="1742"/>
      <c r="AD351" s="1742"/>
      <c r="AE351" s="1577"/>
      <c r="AF351" s="1424"/>
      <c r="AG351" s="1577"/>
    </row>
    <row r="352" spans="1:33" s="1561" customFormat="1" ht="10.4" hidden="1" customHeight="1">
      <c r="A352" s="1269"/>
      <c r="B352"/>
      <c r="C352"/>
      <c r="D352"/>
      <c r="E352"/>
      <c r="F352"/>
      <c r="G352"/>
      <c r="H352"/>
      <c r="I352"/>
      <c r="J352"/>
      <c r="K352" s="1424"/>
      <c r="L352" s="1424"/>
      <c r="M352" s="1577"/>
      <c r="N352"/>
      <c r="O352"/>
      <c r="P352"/>
      <c r="Q352"/>
      <c r="R352"/>
      <c r="S352"/>
      <c r="T352"/>
      <c r="U352"/>
      <c r="V352" s="1422"/>
      <c r="W352"/>
      <c r="X352" s="1577"/>
      <c r="Y352" s="1577"/>
      <c r="Z352" s="1577"/>
      <c r="AA352" s="1577"/>
      <c r="AB352" s="1579"/>
      <c r="AC352"/>
      <c r="AD352"/>
      <c r="AE352" s="1577"/>
      <c r="AF352" s="1424"/>
      <c r="AG352" s="1577"/>
    </row>
    <row r="353" spans="1:33" s="1561" customFormat="1" ht="2.15" hidden="1" customHeight="1">
      <c r="A353" s="1269"/>
      <c r="B353" s="1575"/>
      <c r="C353" s="1575"/>
      <c r="D353" s="1576"/>
      <c r="E353" s="1575"/>
      <c r="F353"/>
      <c r="G353"/>
      <c r="H353"/>
      <c r="I353"/>
      <c r="J353"/>
      <c r="K353" s="1424"/>
      <c r="L353" s="1424"/>
      <c r="M353"/>
      <c r="N353"/>
      <c r="O353"/>
      <c r="P353"/>
      <c r="Q353" s="1575"/>
      <c r="R353" s="1576"/>
      <c r="S353" s="1575"/>
      <c r="T353" s="1575"/>
      <c r="U353"/>
      <c r="V353"/>
      <c r="W353"/>
      <c r="X353" s="1572"/>
      <c r="Y353" s="1572"/>
      <c r="Z353" s="1572"/>
      <c r="AA353" s="1575"/>
      <c r="AB353" s="1743"/>
      <c r="AC353" s="1743"/>
      <c r="AD353" s="1743"/>
      <c r="AE353" s="1575"/>
      <c r="AF353" s="1424"/>
      <c r="AG353" s="1575"/>
    </row>
    <row r="354" spans="1:33" s="1561" customFormat="1" ht="10.4" hidden="1" customHeight="1">
      <c r="A354" s="1269"/>
      <c r="B354" s="1575"/>
      <c r="C354" s="1575"/>
      <c r="D354" s="1576"/>
      <c r="E354" s="1575"/>
      <c r="F354"/>
      <c r="G354"/>
      <c r="H354" s="1435"/>
      <c r="I354" s="1572"/>
      <c r="J354" s="1572"/>
      <c r="K354" s="1580"/>
      <c r="L354" s="1580"/>
      <c r="M354"/>
      <c r="N354"/>
      <c r="O354"/>
      <c r="P354"/>
      <c r="Q354" s="1575"/>
      <c r="R354" s="1576"/>
      <c r="S354" s="1575"/>
      <c r="T354" s="1575"/>
      <c r="U354" s="1581"/>
      <c r="V354" s="1581"/>
      <c r="W354" s="1581"/>
      <c r="X354" s="1581"/>
      <c r="Y354" s="1581"/>
      <c r="Z354" s="1581"/>
      <c r="AA354" s="1581"/>
      <c r="AB354" s="1581"/>
      <c r="AC354" s="1581"/>
      <c r="AD354" s="1581"/>
      <c r="AE354" s="1575"/>
      <c r="AF354" s="1575"/>
      <c r="AG354" s="1575"/>
    </row>
    <row r="355" spans="1:33" s="1561" customFormat="1" ht="2.15" hidden="1" customHeight="1">
      <c r="A355" s="1269"/>
      <c r="B355" s="1744"/>
      <c r="C355" s="1744"/>
      <c r="D355" s="1744"/>
      <c r="E355" s="1744"/>
      <c r="F355" s="1744"/>
      <c r="G355" s="1744"/>
      <c r="H355" s="1744"/>
      <c r="I355" s="1744"/>
      <c r="J355" s="1744"/>
      <c r="K355" s="1744"/>
      <c r="L355"/>
      <c r="M355" s="1745"/>
      <c r="N355" s="1745"/>
      <c r="O355" s="1745"/>
      <c r="P355"/>
      <c r="Q355" s="1738"/>
      <c r="R355" s="1738"/>
      <c r="S355" s="219"/>
      <c r="T355" s="219"/>
      <c r="U355" s="1744"/>
      <c r="V355" s="1744"/>
      <c r="W355" s="1744"/>
      <c r="X355" s="1744"/>
      <c r="Y355" s="1744"/>
      <c r="Z355" s="1744"/>
      <c r="AA355" s="1744"/>
      <c r="AB355" s="1744"/>
      <c r="AC355" s="1744"/>
      <c r="AD355" s="1744"/>
      <c r="AE355" s="1744"/>
      <c r="AF355" s="1744"/>
      <c r="AG355" s="1744"/>
    </row>
    <row r="356" spans="1:33" s="1561" customFormat="1" ht="10.4" hidden="1" customHeight="1">
      <c r="A356" s="1269"/>
      <c r="B356" s="1744"/>
      <c r="C356" s="1744"/>
      <c r="D356" s="1744"/>
      <c r="E356" s="1744"/>
      <c r="F356" s="1744"/>
      <c r="G356" s="1744"/>
      <c r="H356" s="1744"/>
      <c r="I356" s="1744"/>
      <c r="J356" s="1744"/>
      <c r="K356" s="1744"/>
      <c r="L356"/>
      <c r="M356" s="1745"/>
      <c r="N356" s="1745"/>
      <c r="O356" s="1745"/>
      <c r="P356"/>
      <c r="Q356" s="1738"/>
      <c r="R356" s="1738"/>
      <c r="S356"/>
      <c r="T356"/>
      <c r="U356" s="1744"/>
      <c r="V356" s="1744"/>
      <c r="W356" s="1744"/>
      <c r="X356" s="1744"/>
      <c r="Y356" s="1744"/>
      <c r="Z356" s="1744"/>
      <c r="AA356" s="1744"/>
      <c r="AB356" s="1744"/>
      <c r="AC356" s="1744"/>
      <c r="AD356" s="1744"/>
      <c r="AE356" s="1744"/>
      <c r="AF356" s="1744"/>
      <c r="AG356" s="1744"/>
    </row>
    <row r="357" spans="1:33" s="1561" customFormat="1" ht="2.15" hidden="1" customHeight="1">
      <c r="A357" s="1269"/>
      <c r="B357" s="1744"/>
      <c r="C357" s="1744"/>
      <c r="D357" s="1744"/>
      <c r="E357" s="1744"/>
      <c r="F357" s="1744"/>
      <c r="G357" s="1744"/>
      <c r="H357" s="1744"/>
      <c r="I357" s="1744"/>
      <c r="J357" s="1744"/>
      <c r="K357" s="1744"/>
      <c r="L357"/>
      <c r="M357" s="1745"/>
      <c r="N357" s="1745"/>
      <c r="O357" s="1745"/>
      <c r="P357"/>
      <c r="Q357" s="1738"/>
      <c r="R357" s="1738"/>
      <c r="S357"/>
      <c r="T357"/>
      <c r="U357" s="1744"/>
      <c r="V357" s="1744"/>
      <c r="W357" s="1744"/>
      <c r="X357" s="1744"/>
      <c r="Y357" s="1744"/>
      <c r="Z357" s="1744"/>
      <c r="AA357" s="1744"/>
      <c r="AB357" s="1744"/>
      <c r="AC357" s="1744"/>
      <c r="AD357" s="1744"/>
      <c r="AE357" s="1744"/>
      <c r="AF357" s="1744"/>
      <c r="AG357" s="1744"/>
    </row>
    <row r="358" spans="1:33" s="1561" customFormat="1" ht="10.4" hidden="1" customHeight="1">
      <c r="A358" s="1269"/>
      <c r="B358" s="1736"/>
      <c r="C358" s="1736"/>
      <c r="D358" s="1736"/>
      <c r="E358" s="1736"/>
      <c r="F358" s="1273"/>
      <c r="G358" s="1737"/>
      <c r="H358" s="1737"/>
      <c r="I358" s="1737"/>
      <c r="J358" s="1737"/>
      <c r="K358" s="1737"/>
      <c r="L358" s="1737"/>
      <c r="M358" s="1737"/>
      <c r="N358" s="1737"/>
      <c r="O358" s="1737"/>
      <c r="P358"/>
      <c r="Q358" s="1738"/>
      <c r="R358" s="1738"/>
      <c r="S358" s="219"/>
      <c r="T358" s="219"/>
      <c r="U358" s="1737"/>
      <c r="V358" s="1737"/>
      <c r="W358" s="1737"/>
      <c r="X358" s="1737"/>
      <c r="Y358" s="1737"/>
      <c r="Z358" s="1737"/>
      <c r="AA358" s="1737"/>
      <c r="AB358" s="1737"/>
      <c r="AC358" s="1737"/>
      <c r="AD358" s="1737"/>
      <c r="AE358" s="1737"/>
      <c r="AF358" s="1737"/>
      <c r="AG358" s="1737"/>
    </row>
    <row r="359" spans="1:33" s="1561" customFormat="1" ht="2.15" hidden="1" customHeight="1">
      <c r="A359" s="1269"/>
      <c r="B359"/>
      <c r="C359"/>
      <c r="D359"/>
      <c r="E359"/>
      <c r="F359"/>
      <c r="G359"/>
      <c r="H359"/>
      <c r="I359"/>
      <c r="J359"/>
      <c r="K359" s="236"/>
      <c r="L359" s="236"/>
      <c r="M359" s="236"/>
      <c r="N359" s="236"/>
      <c r="O359" s="236"/>
      <c r="P359" s="236"/>
      <c r="Q359" s="236"/>
      <c r="R359" s="236"/>
      <c r="S359" s="236"/>
      <c r="T359" s="236"/>
      <c r="U359" s="236"/>
      <c r="V359" s="236"/>
      <c r="W359" s="236"/>
      <c r="X359" s="236"/>
      <c r="Y359" s="236"/>
      <c r="Z359" s="236"/>
      <c r="AA359" s="236"/>
      <c r="AB359" s="236"/>
      <c r="AC359" s="236"/>
      <c r="AD359" s="236"/>
      <c r="AE359" s="236"/>
      <c r="AF359" s="236"/>
      <c r="AG359" s="236"/>
    </row>
    <row r="360" spans="1:33" s="1561" customFormat="1" ht="10.4" hidden="1" customHeight="1">
      <c r="A360" s="1269"/>
      <c r="B360" s="1698"/>
      <c r="C360" s="1699"/>
      <c r="D360" s="1699"/>
      <c r="E360" s="1699"/>
      <c r="F360"/>
      <c r="G360"/>
      <c r="H360"/>
      <c r="I360"/>
      <c r="J360"/>
      <c r="K360" s="236"/>
      <c r="L360" s="236"/>
      <c r="M360" s="236"/>
      <c r="N360" s="236"/>
      <c r="O360" s="236"/>
      <c r="P360" s="236"/>
      <c r="Q360" s="236"/>
      <c r="R360" s="236"/>
      <c r="S360" s="236"/>
      <c r="T360" s="236"/>
      <c r="U360" s="236"/>
      <c r="V360" s="236"/>
      <c r="W360" s="236"/>
      <c r="X360" s="236"/>
      <c r="Y360" s="236"/>
      <c r="Z360" s="236"/>
      <c r="AA360" s="236"/>
      <c r="AB360" s="1699"/>
      <c r="AC360" s="1699"/>
      <c r="AD360" s="1699"/>
      <c r="AE360" s="1699"/>
      <c r="AF360" s="1699"/>
      <c r="AG360" s="1698"/>
    </row>
    <row r="361" spans="1:33" s="1561" customFormat="1" ht="2.15" hidden="1" customHeight="1">
      <c r="A361" s="1269"/>
      <c r="B361" s="1698"/>
      <c r="C361" s="1699"/>
      <c r="D361" s="1699"/>
      <c r="E361" s="1699"/>
      <c r="F361"/>
      <c r="G361" s="1563"/>
      <c r="H361" s="1735"/>
      <c r="I361" s="1735"/>
      <c r="J361" s="1735"/>
      <c r="K361" s="1735"/>
      <c r="L361" s="238"/>
      <c r="M361" s="1582"/>
      <c r="N361" s="238"/>
      <c r="O361" s="238"/>
      <c r="P361" s="1562"/>
      <c r="Q361" s="238"/>
      <c r="R361" s="238"/>
      <c r="S361" s="1288"/>
      <c r="T361" s="1288"/>
      <c r="U361" s="1701"/>
      <c r="V361" s="1701"/>
      <c r="W361" s="1701"/>
      <c r="X361" s="1701"/>
      <c r="Y361" s="1701"/>
      <c r="Z361" s="1563"/>
      <c r="AA361" s="236"/>
      <c r="AB361" s="1699"/>
      <c r="AC361" s="1699"/>
      <c r="AD361" s="1699"/>
      <c r="AE361" s="1699"/>
      <c r="AF361" s="1699"/>
      <c r="AG361" s="1698"/>
    </row>
    <row r="362" spans="1:33" s="1561" customFormat="1" ht="10.4" hidden="1" customHeight="1">
      <c r="A362" s="1269"/>
      <c r="B362" s="1698"/>
      <c r="C362" s="1699"/>
      <c r="D362" s="1699"/>
      <c r="E362" s="1699"/>
      <c r="F362"/>
      <c r="G362" s="1563"/>
      <c r="H362" s="1697"/>
      <c r="I362" s="1697"/>
      <c r="J362" s="1697"/>
      <c r="K362" s="1697"/>
      <c r="L362" s="1305"/>
      <c r="M362" s="220"/>
      <c r="N362" s="220"/>
      <c r="O362" s="220"/>
      <c r="P362" s="220"/>
      <c r="Q362" s="220"/>
      <c r="R362" s="220"/>
      <c r="S362" s="1288"/>
      <c r="T362" s="1288"/>
      <c r="U362" s="1701"/>
      <c r="V362" s="1701"/>
      <c r="W362" s="1701"/>
      <c r="X362" s="1701"/>
      <c r="Y362" s="1701"/>
      <c r="Z362" s="1563"/>
      <c r="AA362" s="236"/>
      <c r="AB362" s="1699"/>
      <c r="AC362" s="1699"/>
      <c r="AD362" s="1699"/>
      <c r="AE362" s="1699"/>
      <c r="AF362" s="1699"/>
      <c r="AG362" s="1698"/>
    </row>
    <row r="363" spans="1:33" s="1561" customFormat="1" ht="2.15" hidden="1" customHeight="1">
      <c r="A363" s="1269"/>
      <c r="B363" s="1698"/>
      <c r="C363" s="1699"/>
      <c r="D363" s="1699"/>
      <c r="E363" s="1699"/>
      <c r="F363"/>
      <c r="G363" s="1305"/>
      <c r="H363" s="1305"/>
      <c r="I363" s="1305"/>
      <c r="J363" s="1305"/>
      <c r="K363" s="1305"/>
      <c r="L363" s="1305"/>
      <c r="M363" s="220"/>
      <c r="N363" s="220"/>
      <c r="O363" s="220"/>
      <c r="P363" s="220"/>
      <c r="Q363" s="220"/>
      <c r="R363" s="220"/>
      <c r="S363" s="1288"/>
      <c r="T363" s="1288"/>
      <c r="U363" s="1701"/>
      <c r="V363" s="1701"/>
      <c r="W363" s="1701"/>
      <c r="X363" s="1701"/>
      <c r="Y363" s="1701"/>
      <c r="Z363" s="1563"/>
      <c r="AA363" s="236"/>
      <c r="AB363" s="1699"/>
      <c r="AC363" s="1699"/>
      <c r="AD363" s="1699"/>
      <c r="AE363" s="1699"/>
      <c r="AF363" s="1699"/>
      <c r="AG363" s="1698"/>
    </row>
    <row r="364" spans="1:33" s="1561" customFormat="1" ht="10.4" hidden="1" customHeight="1">
      <c r="A364" s="1269"/>
      <c r="B364" s="1698"/>
      <c r="C364" s="1699"/>
      <c r="D364" s="1699"/>
      <c r="E364" s="1699"/>
      <c r="F364"/>
      <c r="G364" s="1583"/>
      <c r="H364" s="1700"/>
      <c r="I364" s="1700"/>
      <c r="J364" s="1700"/>
      <c r="K364" s="1700"/>
      <c r="L364" s="1305"/>
      <c r="M364" s="220"/>
      <c r="N364" s="220"/>
      <c r="O364" s="220"/>
      <c r="P364" s="220"/>
      <c r="Q364" s="220"/>
      <c r="R364" s="220"/>
      <c r="S364" s="1288"/>
      <c r="T364" s="1288"/>
      <c r="U364" s="1701"/>
      <c r="V364" s="1701"/>
      <c r="W364" s="1701"/>
      <c r="X364" s="1701"/>
      <c r="Y364" s="1701"/>
      <c r="Z364" s="1563"/>
      <c r="AA364" s="236"/>
      <c r="AB364" s="1699"/>
      <c r="AC364" s="1699"/>
      <c r="AD364" s="1699"/>
      <c r="AE364" s="1699"/>
      <c r="AF364" s="1699"/>
      <c r="AG364" s="1698"/>
    </row>
    <row r="365" spans="1:33" s="1561" customFormat="1" ht="2.15" hidden="1" customHeight="1">
      <c r="A365" s="1269"/>
      <c r="B365" s="1698"/>
      <c r="C365" s="1699"/>
      <c r="D365" s="1699"/>
      <c r="E365" s="1699"/>
      <c r="F365"/>
      <c r="G365" s="1305"/>
      <c r="H365" s="1305"/>
      <c r="I365" s="1305"/>
      <c r="J365" s="1305"/>
      <c r="K365" s="1305"/>
      <c r="L365" s="1305"/>
      <c r="M365" s="1305"/>
      <c r="N365" s="220"/>
      <c r="O365" s="220"/>
      <c r="P365" s="220"/>
      <c r="Q365" s="220"/>
      <c r="R365" s="220"/>
      <c r="S365" s="1288"/>
      <c r="T365" s="1288"/>
      <c r="U365" s="1702"/>
      <c r="V365" s="1702"/>
      <c r="W365" s="1702"/>
      <c r="X365" s="1702"/>
      <c r="Y365" s="1702"/>
      <c r="Z365" s="1563"/>
      <c r="AA365" s="236"/>
      <c r="AB365" s="1699"/>
      <c r="AC365" s="1699"/>
      <c r="AD365" s="1699"/>
      <c r="AE365" s="1699"/>
      <c r="AF365" s="1699"/>
      <c r="AG365" s="1698"/>
    </row>
    <row r="366" spans="1:33" s="1561" customFormat="1" ht="10.4" hidden="1" customHeight="1">
      <c r="A366" s="1269"/>
      <c r="B366" s="1698"/>
      <c r="C366" s="1699"/>
      <c r="D366" s="1699"/>
      <c r="E366" s="1699"/>
      <c r="F366"/>
      <c r="G366"/>
      <c r="H366"/>
      <c r="I366"/>
      <c r="J366"/>
      <c r="K366" s="1305"/>
      <c r="L366" s="1305"/>
      <c r="M366" s="1305"/>
      <c r="N366" s="1305"/>
      <c r="O366" s="220"/>
      <c r="P366" s="220"/>
      <c r="Q366" s="220"/>
      <c r="R366" s="220"/>
      <c r="S366" s="1288"/>
      <c r="T366" s="1288"/>
      <c r="U366" s="236"/>
      <c r="V366" s="1288"/>
      <c r="W366" s="236"/>
      <c r="X366" s="236"/>
      <c r="Y366" s="236"/>
      <c r="Z366" s="236"/>
      <c r="AA366" s="236"/>
      <c r="AB366" s="1699"/>
      <c r="AC366" s="1699"/>
      <c r="AD366" s="1699"/>
      <c r="AE366" s="1699"/>
      <c r="AF366" s="1699"/>
      <c r="AG366" s="1698"/>
    </row>
    <row r="367" spans="1:33" s="1561" customFormat="1" ht="2.15" hidden="1" customHeight="1">
      <c r="A367" s="1269"/>
      <c r="B367" s="1698"/>
      <c r="C367" s="1699"/>
      <c r="D367" s="1699"/>
      <c r="E367" s="1699"/>
      <c r="F367"/>
      <c r="G367" s="1563"/>
      <c r="H367" s="1697"/>
      <c r="I367" s="1697"/>
      <c r="J367" s="1697"/>
      <c r="K367" s="1697"/>
      <c r="L367" s="1305"/>
      <c r="M367" s="219"/>
      <c r="N367" s="220"/>
      <c r="O367" s="1305"/>
      <c r="P367" s="220"/>
      <c r="Q367" s="220"/>
      <c r="R367" s="220"/>
      <c r="S367" s="220"/>
      <c r="T367" s="220"/>
      <c r="U367" s="1701"/>
      <c r="V367" s="1701"/>
      <c r="W367" s="1701"/>
      <c r="X367" s="1701"/>
      <c r="Y367" s="1701"/>
      <c r="Z367" s="1563"/>
      <c r="AA367" s="236"/>
      <c r="AB367" s="1699"/>
      <c r="AC367" s="1699"/>
      <c r="AD367" s="1699"/>
      <c r="AE367" s="1699"/>
      <c r="AF367" s="1699"/>
      <c r="AG367" s="1698"/>
    </row>
    <row r="368" spans="1:33" s="1561" customFormat="1" ht="10.4" hidden="1" customHeight="1">
      <c r="A368" s="1269"/>
      <c r="B368" s="1698"/>
      <c r="C368" s="1699"/>
      <c r="D368" s="1699"/>
      <c r="E368" s="1699"/>
      <c r="F368"/>
      <c r="G368" s="1583"/>
      <c r="H368" s="1700"/>
      <c r="I368" s="1700"/>
      <c r="J368" s="1700"/>
      <c r="K368" s="1700"/>
      <c r="L368" s="1305"/>
      <c r="M368" s="1407"/>
      <c r="N368" s="220"/>
      <c r="O368" s="220"/>
      <c r="P368" s="220"/>
      <c r="Q368" s="220"/>
      <c r="R368" s="220"/>
      <c r="S368" s="220"/>
      <c r="T368" s="220"/>
      <c r="U368" s="1701"/>
      <c r="V368" s="1701"/>
      <c r="W368" s="1701"/>
      <c r="X368" s="1701"/>
      <c r="Y368" s="1701"/>
      <c r="Z368" s="1563"/>
      <c r="AA368" s="236"/>
      <c r="AB368" s="1699"/>
      <c r="AC368" s="1699"/>
      <c r="AD368" s="1699"/>
      <c r="AE368" s="1699"/>
      <c r="AF368" s="1699"/>
      <c r="AG368" s="1698"/>
    </row>
    <row r="369" spans="1:33" s="1561" customFormat="1" ht="2.15" hidden="1" customHeight="1">
      <c r="A369" s="1269"/>
      <c r="B369" s="1698"/>
      <c r="C369" s="1699"/>
      <c r="D369" s="1699"/>
      <c r="E369" s="1699"/>
      <c r="F369"/>
      <c r="G369"/>
      <c r="H369"/>
      <c r="I369"/>
      <c r="J369"/>
      <c r="K369" s="1305"/>
      <c r="L369" s="1305"/>
      <c r="M369" s="1305"/>
      <c r="N369" s="220"/>
      <c r="O369" s="220"/>
      <c r="P369" s="220"/>
      <c r="Q369" s="220"/>
      <c r="R369" s="220"/>
      <c r="S369" s="220"/>
      <c r="T369" s="220"/>
      <c r="U369" s="220"/>
      <c r="V369" s="220"/>
      <c r="W369" s="220"/>
      <c r="X369" s="236"/>
      <c r="Y369" s="236"/>
      <c r="Z369" s="236"/>
      <c r="AA369" s="236"/>
      <c r="AB369" s="1699"/>
      <c r="AC369" s="1699"/>
      <c r="AD369" s="1699"/>
      <c r="AE369" s="1699"/>
      <c r="AF369" s="1699"/>
      <c r="AG369" s="1698"/>
    </row>
    <row r="370" spans="1:33" s="1561" customFormat="1" ht="10.4" hidden="1" customHeight="1">
      <c r="A370" s="1269"/>
      <c r="B370" s="1269"/>
      <c r="C370" s="1565"/>
      <c r="D370" s="1560"/>
      <c r="F370" s="1566"/>
      <c r="G370" s="1566"/>
      <c r="H370" s="1566"/>
      <c r="J370" s="1567"/>
      <c r="K370" s="1567"/>
      <c r="L370" s="1564"/>
      <c r="M370" s="1568"/>
      <c r="N370" s="1270"/>
      <c r="O370" s="1564"/>
      <c r="P370" s="1270"/>
      <c r="Q370" s="1270"/>
      <c r="R370" s="1564"/>
      <c r="S370" s="1270"/>
      <c r="T370" s="1569"/>
    </row>
    <row r="371" spans="1:33" s="1561" customFormat="1" ht="2.15" hidden="1" customHeight="1">
      <c r="A371" s="1269"/>
      <c r="B371" s="1269"/>
      <c r="C371" s="1565"/>
      <c r="D371" s="1570"/>
      <c r="F371" s="1566"/>
      <c r="G371" s="1566"/>
      <c r="H371" s="1566"/>
      <c r="L371" s="1564"/>
      <c r="M371" s="1270"/>
      <c r="N371" s="1270"/>
      <c r="O371" s="1564"/>
      <c r="P371" s="1270"/>
      <c r="Q371" s="1270"/>
      <c r="R371" s="1564"/>
      <c r="S371" s="1270"/>
      <c r="T371" s="1268"/>
    </row>
    <row r="372" spans="1:33" s="1561" customFormat="1" ht="10.4" hidden="1" customHeight="1">
      <c r="A372" s="1269"/>
      <c r="B372" s="1269"/>
      <c r="C372" s="1565"/>
      <c r="D372" s="1560"/>
      <c r="F372" s="1566"/>
      <c r="G372" s="1566"/>
      <c r="H372" s="1566"/>
      <c r="J372" s="1567"/>
      <c r="K372" s="1567"/>
      <c r="L372" s="1564"/>
      <c r="M372" s="1270"/>
      <c r="N372" s="1268"/>
      <c r="O372" s="1268"/>
      <c r="P372" s="1270"/>
      <c r="Q372" s="1268"/>
      <c r="R372" s="1268"/>
      <c r="S372" s="1568"/>
      <c r="T372" s="1270"/>
      <c r="U372" s="1564"/>
      <c r="V372" s="1268"/>
      <c r="W372" s="1569"/>
      <c r="Z372" s="1268"/>
    </row>
    <row r="373" spans="1:33" s="1561" customFormat="1" ht="2.15" hidden="1" customHeight="1">
      <c r="A373" s="1269"/>
      <c r="B373" s="1269"/>
      <c r="C373" s="1565"/>
      <c r="D373" s="1560"/>
      <c r="E373" s="1565"/>
      <c r="F373" s="1560"/>
      <c r="G373" s="1560"/>
      <c r="J373" s="1567"/>
      <c r="K373" s="1567"/>
      <c r="L373" s="1564"/>
      <c r="M373" s="1270"/>
      <c r="N373" s="1270"/>
      <c r="O373" s="1564"/>
      <c r="P373" s="1270"/>
      <c r="Q373" s="1270"/>
      <c r="R373" s="1564"/>
      <c r="S373" s="1270"/>
      <c r="T373" s="1268"/>
    </row>
    <row r="374" spans="1:33" s="1561" customFormat="1" ht="62.5" hidden="1" customHeight="1">
      <c r="A374" s="1269"/>
      <c r="B374" s="1269"/>
      <c r="C374" s="1565"/>
      <c r="D374" s="1560"/>
      <c r="E374" s="1565"/>
      <c r="F374" s="1560"/>
      <c r="G374" s="1560"/>
      <c r="J374" s="1567"/>
      <c r="K374" s="1567"/>
      <c r="L374" s="1564"/>
      <c r="M374" s="1568"/>
      <c r="N374" s="1270"/>
      <c r="O374" s="1564"/>
      <c r="P374" s="1270"/>
      <c r="Q374" s="1270"/>
      <c r="T374" s="1268"/>
    </row>
    <row r="375" spans="1:33" s="1561" customFormat="1" ht="2.15" hidden="1" customHeight="1">
      <c r="A375" s="1269"/>
      <c r="B375" s="1269"/>
      <c r="C375" s="1565"/>
      <c r="D375" s="1560"/>
      <c r="E375" s="1565"/>
      <c r="F375" s="1560"/>
      <c r="G375" s="1560"/>
      <c r="H375" s="1560"/>
      <c r="I375" s="1564"/>
      <c r="J375" s="1571"/>
      <c r="K375" s="1571"/>
      <c r="L375" s="1564"/>
      <c r="M375" s="1268"/>
      <c r="N375" s="1268"/>
      <c r="O375" s="1564"/>
      <c r="P375" s="1569"/>
      <c r="Q375" s="1268"/>
      <c r="R375" s="1564"/>
      <c r="S375" s="1268"/>
    </row>
    <row r="376" spans="1:33" s="1561" customFormat="1" ht="10.4" hidden="1" customHeight="1">
      <c r="A376" s="1269"/>
      <c r="B376" s="1269"/>
      <c r="C376" s="1565"/>
      <c r="D376" s="1560"/>
      <c r="E376" s="1565"/>
      <c r="F376" s="1560"/>
      <c r="G376" s="1560"/>
      <c r="H376" s="1560"/>
      <c r="I376" s="1564"/>
      <c r="J376" s="1268"/>
      <c r="K376" s="1268"/>
      <c r="L376" s="1564"/>
      <c r="M376" s="1268"/>
      <c r="N376" s="1268"/>
      <c r="O376" s="1564"/>
      <c r="P376" s="1569"/>
      <c r="Q376" s="1268"/>
      <c r="R376" s="1564"/>
      <c r="S376" s="1268"/>
    </row>
    <row r="377" spans="1:33" s="90" customFormat="1" ht="20.149999999999999" hidden="1" customHeight="1">
      <c r="C377" s="48"/>
      <c r="W377" s="48"/>
      <c r="X377" s="48"/>
    </row>
    <row r="378" spans="1:33" s="90" customFormat="1" ht="20.149999999999999" hidden="1" customHeight="1">
      <c r="C378" s="48"/>
      <c r="D378" s="88" t="str">
        <f>Text!C330</f>
        <v>Zurück</v>
      </c>
      <c r="E378" s="48"/>
      <c r="F378" s="48"/>
      <c r="H378" s="199"/>
      <c r="I378" s="199"/>
      <c r="J378" s="199"/>
      <c r="K378" s="199"/>
      <c r="L378" s="199"/>
      <c r="M378" s="199"/>
      <c r="N378" s="199"/>
      <c r="O378" s="199"/>
      <c r="P378" s="199"/>
      <c r="Q378" s="199"/>
      <c r="R378" s="200"/>
      <c r="S378" s="48"/>
      <c r="T378" s="48"/>
      <c r="U378" s="48"/>
      <c r="V378" s="89"/>
      <c r="W378" s="48"/>
      <c r="X378" s="48"/>
      <c r="Y378" s="89" t="str">
        <f>Text!C331</f>
        <v>Weiter</v>
      </c>
    </row>
    <row r="379" spans="1:33" s="90" customFormat="1" ht="20.149999999999999" hidden="1" customHeight="1">
      <c r="C379" s="48"/>
      <c r="E379" s="48"/>
      <c r="V379" s="48"/>
      <c r="W379" s="48"/>
      <c r="X379" s="48"/>
    </row>
    <row r="380" spans="1:33" ht="24.65" hidden="1" customHeight="1">
      <c r="A380" s="84"/>
      <c r="B380" s="84"/>
      <c r="C380" s="84"/>
      <c r="D380" s="84"/>
      <c r="E380" s="1751" t="str">
        <f>Text!C428</f>
        <v>Sie können jetzt mit dem Fragenkatalog beginnen.</v>
      </c>
      <c r="F380" s="1751"/>
      <c r="G380" s="1751"/>
      <c r="H380" s="1751"/>
      <c r="I380" s="1751"/>
      <c r="J380" s="1751"/>
      <c r="K380" s="1751"/>
      <c r="L380" s="1751"/>
      <c r="M380" s="1751"/>
      <c r="N380" s="1751"/>
      <c r="O380" s="1751"/>
      <c r="P380" s="1751"/>
      <c r="Q380" s="1751"/>
      <c r="R380" s="1751"/>
      <c r="S380" s="1751"/>
      <c r="T380" s="1751"/>
      <c r="U380" s="1751"/>
      <c r="V380" s="1751"/>
      <c r="W380" s="84"/>
      <c r="X380" s="85"/>
    </row>
    <row r="381" spans="1:33" hidden="1">
      <c r="D381" s="1"/>
      <c r="E381" s="1"/>
      <c r="F381" s="1"/>
      <c r="G381" s="1"/>
      <c r="H381" s="1"/>
      <c r="I381" s="1"/>
      <c r="J381" s="1"/>
      <c r="K381" s="1"/>
      <c r="L381" s="1"/>
      <c r="M381" s="1"/>
      <c r="N381" s="1"/>
      <c r="O381" s="1"/>
      <c r="P381" s="1"/>
      <c r="Q381" s="1"/>
      <c r="R381" s="1"/>
      <c r="S381" s="1"/>
      <c r="T381" s="1"/>
      <c r="U381" s="1"/>
      <c r="X381" s="1"/>
    </row>
    <row r="382" spans="1:33" ht="15.5" hidden="1">
      <c r="A382" s="84"/>
      <c r="B382" s="84"/>
      <c r="C382" s="84"/>
      <c r="D382" s="84"/>
      <c r="E382" s="1517" t="str">
        <f>Text!C429</f>
        <v>Bemerkung 1: Wenn Sie den Text einer Frage nicht vollständig sehen können, versuchen Sie bitte, die Zoomeinstellung des Fensters im Excel anzupassen.</v>
      </c>
      <c r="F382" s="1517"/>
      <c r="G382" s="1517"/>
      <c r="H382" s="1517"/>
      <c r="I382" s="1517"/>
      <c r="J382" s="1517"/>
      <c r="K382" s="1517"/>
      <c r="L382" s="1517"/>
      <c r="M382" s="1517"/>
      <c r="N382" s="1517"/>
      <c r="O382" s="1517"/>
      <c r="P382" s="1517"/>
      <c r="Q382" s="1517"/>
      <c r="R382" s="1517"/>
      <c r="S382" s="1517"/>
      <c r="T382" s="1517"/>
      <c r="U382" s="1517"/>
      <c r="V382" s="1517"/>
      <c r="W382" s="84"/>
      <c r="X382" s="84"/>
    </row>
    <row r="383" spans="1:33" hidden="1">
      <c r="D383" s="1"/>
      <c r="E383" s="46"/>
      <c r="V383" s="1"/>
      <c r="W383" s="50"/>
      <c r="X383" s="1"/>
    </row>
    <row r="384" spans="1:33" ht="18.649999999999999" hidden="1" customHeight="1">
      <c r="D384" s="1"/>
      <c r="E384" s="1733" t="str">
        <f>Text!C430</f>
        <v>Bemerkung 2: Wenn ein Fehler auftritt, wird empfohlen, das Programm zu speichern und neu zu starten.</v>
      </c>
      <c r="F384" s="1733"/>
      <c r="G384" s="1733"/>
      <c r="H384" s="1733"/>
      <c r="I384" s="1733"/>
      <c r="J384" s="1733"/>
      <c r="K384" s="1733"/>
      <c r="L384" s="1733"/>
      <c r="M384" s="1733"/>
      <c r="N384" s="1733"/>
      <c r="O384" s="1733"/>
      <c r="P384" s="1733"/>
      <c r="Q384" s="1733"/>
      <c r="R384" s="1733"/>
      <c r="S384" s="1733"/>
      <c r="T384" s="1733"/>
      <c r="U384" s="1733"/>
      <c r="V384" s="1733"/>
      <c r="W384" s="1"/>
      <c r="X384" s="1"/>
    </row>
    <row r="385" spans="1:24" ht="18.5" hidden="1">
      <c r="D385" s="1"/>
      <c r="E385" s="1"/>
      <c r="F385" s="1"/>
      <c r="G385" s="79"/>
      <c r="H385" s="79"/>
      <c r="I385" s="1"/>
      <c r="J385" s="1"/>
      <c r="K385" s="1"/>
      <c r="L385" s="1"/>
      <c r="M385" s="1"/>
      <c r="N385" s="1"/>
      <c r="O385" s="1"/>
      <c r="P385" s="1"/>
      <c r="Q385" s="1"/>
      <c r="R385" s="1"/>
      <c r="S385" s="1"/>
      <c r="T385" s="1"/>
      <c r="U385" s="1"/>
      <c r="V385" s="120"/>
      <c r="W385" s="50"/>
      <c r="X385" s="1"/>
    </row>
    <row r="386" spans="1:24" ht="18.5" hidden="1">
      <c r="G386" s="83"/>
      <c r="H386" s="1709" t="str">
        <f>Text!C325</f>
        <v>Einleitung wiederholen</v>
      </c>
      <c r="I386" s="1710"/>
      <c r="J386" s="1710"/>
      <c r="K386" s="1710"/>
      <c r="L386" s="1711"/>
      <c r="M386" s="205"/>
      <c r="N386" s="1709" t="str">
        <f>Text!C317</f>
        <v>Zum Fragenkatalog</v>
      </c>
      <c r="O386" s="1710"/>
      <c r="P386" s="1710"/>
      <c r="Q386" s="1710"/>
      <c r="R386" s="1711"/>
      <c r="S386" s="83"/>
      <c r="T386" s="1"/>
      <c r="V386" s="18"/>
      <c r="W386" s="50"/>
      <c r="X386" s="1"/>
    </row>
    <row r="387" spans="1:24" ht="14.25" hidden="1" customHeight="1" thickBot="1">
      <c r="G387" s="83"/>
      <c r="H387" s="1712"/>
      <c r="I387" s="1713"/>
      <c r="J387" s="1713"/>
      <c r="K387" s="1713"/>
      <c r="L387" s="1714"/>
      <c r="M387" s="205"/>
      <c r="N387" s="1712"/>
      <c r="O387" s="1713"/>
      <c r="P387" s="1713"/>
      <c r="Q387" s="1713"/>
      <c r="R387" s="1714"/>
      <c r="S387" s="83"/>
      <c r="T387" s="1"/>
      <c r="V387" s="161"/>
      <c r="W387" s="161"/>
      <c r="X387" s="1"/>
    </row>
    <row r="388" spans="1:24" ht="19" hidden="1" thickTop="1">
      <c r="E388" s="1"/>
      <c r="F388" s="1"/>
      <c r="G388" s="78"/>
      <c r="H388" s="208"/>
      <c r="I388" s="208"/>
      <c r="J388" s="208"/>
      <c r="K388" s="208"/>
      <c r="L388" s="208"/>
      <c r="M388" s="208"/>
      <c r="N388" s="209"/>
      <c r="O388" s="209"/>
      <c r="P388" s="209"/>
      <c r="Q388" s="208"/>
      <c r="R388" s="208"/>
      <c r="S388" s="78"/>
      <c r="T388" s="18"/>
      <c r="U388" s="18"/>
      <c r="V388" s="1"/>
      <c r="W388" s="50"/>
      <c r="X388" s="83"/>
    </row>
    <row r="389" spans="1:24" ht="14.25" customHeight="1">
      <c r="E389" s="1706" t="str">
        <f>Text!C431</f>
        <v>Für weitere Informationen zum NNBS können Sie diesem Link folgen:</v>
      </c>
      <c r="F389" s="1706"/>
      <c r="G389" s="1706"/>
      <c r="H389" s="1706"/>
      <c r="I389" s="1706"/>
      <c r="J389" s="1706"/>
      <c r="K389" s="1706"/>
      <c r="L389" s="1706"/>
      <c r="M389" s="1706"/>
      <c r="N389" s="1708" t="s">
        <v>56</v>
      </c>
      <c r="O389" s="1708"/>
      <c r="P389" s="1708"/>
      <c r="Q389" s="190"/>
      <c r="R389" s="190"/>
      <c r="S389" s="190"/>
      <c r="T389" s="161"/>
      <c r="U389" s="161"/>
      <c r="V389" s="161"/>
      <c r="W389" s="161"/>
      <c r="X389" s="1"/>
    </row>
    <row r="390" spans="1:24" ht="18.5">
      <c r="E390" s="83"/>
      <c r="F390" s="1"/>
      <c r="G390" s="156"/>
      <c r="H390" s="157"/>
      <c r="I390" s="1"/>
      <c r="J390" s="1"/>
      <c r="K390" s="1"/>
      <c r="L390" s="1"/>
      <c r="M390" s="1"/>
      <c r="N390" s="155"/>
      <c r="O390" s="155"/>
      <c r="P390" s="155"/>
      <c r="Q390" s="1"/>
      <c r="R390" s="1"/>
      <c r="S390" s="1"/>
      <c r="T390" s="1"/>
      <c r="U390" s="1"/>
      <c r="V390" s="161"/>
      <c r="W390" s="161"/>
      <c r="X390" s="1"/>
    </row>
    <row r="391" spans="1:24">
      <c r="E391" s="1706" t="str">
        <f>Text!C432</f>
        <v>Für weitere Informationen zum SNBS können Sie diesem Link folgen:</v>
      </c>
      <c r="F391" s="1706"/>
      <c r="G391" s="1706"/>
      <c r="H391" s="1706"/>
      <c r="I391" s="1706"/>
      <c r="J391" s="1706"/>
      <c r="K391" s="1706"/>
      <c r="L391" s="1706"/>
      <c r="M391" s="1706"/>
      <c r="N391" s="1707" t="s">
        <v>121</v>
      </c>
      <c r="O391" s="1707"/>
      <c r="P391" s="1707"/>
      <c r="Q391" s="1707"/>
      <c r="R391" s="1707"/>
      <c r="S391" s="1707"/>
      <c r="T391" s="161"/>
      <c r="U391" s="161"/>
      <c r="V391" s="161"/>
      <c r="W391" s="161"/>
      <c r="X391" s="1"/>
    </row>
    <row r="392" spans="1:24" ht="18.5">
      <c r="E392" s="1"/>
      <c r="F392" s="1"/>
      <c r="G392" s="76"/>
      <c r="H392" s="74"/>
      <c r="I392" s="74"/>
      <c r="J392" s="74"/>
      <c r="K392" s="74"/>
      <c r="L392" s="74"/>
      <c r="M392" s="74"/>
      <c r="N392" s="74"/>
      <c r="O392" s="74"/>
      <c r="P392" s="74"/>
      <c r="Q392" s="75"/>
      <c r="R392" s="1"/>
      <c r="S392" s="1"/>
      <c r="T392" s="1"/>
      <c r="U392" s="1"/>
      <c r="V392" s="77"/>
      <c r="W392" s="1"/>
      <c r="X392" s="1"/>
    </row>
    <row r="393" spans="1:24" ht="45" customHeight="1">
      <c r="G393" s="86"/>
    </row>
    <row r="394" spans="1:24" ht="20.149999999999999" hidden="1" customHeight="1"/>
    <row r="395" spans="1:24" hidden="1">
      <c r="A395" s="1"/>
      <c r="B395" s="1"/>
      <c r="D395" s="1"/>
      <c r="E395" s="1"/>
      <c r="F395" s="1"/>
      <c r="G395" s="1"/>
      <c r="H395" s="1"/>
      <c r="I395" s="1"/>
      <c r="J395" s="1"/>
      <c r="K395" s="1"/>
      <c r="L395" s="1"/>
      <c r="M395" s="1"/>
      <c r="N395" s="1"/>
      <c r="O395" s="1"/>
      <c r="P395" s="1"/>
      <c r="Q395" s="1"/>
      <c r="R395" s="1"/>
      <c r="S395" s="1"/>
      <c r="T395" s="1"/>
      <c r="U395" s="1"/>
      <c r="V395" s="1"/>
      <c r="W395" s="1"/>
      <c r="X395" s="1"/>
    </row>
    <row r="396" spans="1:24" ht="33.5" hidden="1">
      <c r="J396" s="87"/>
      <c r="K396" s="87"/>
      <c r="L396" s="87"/>
      <c r="M396" s="87"/>
      <c r="N396" s="87"/>
      <c r="O396" s="87"/>
      <c r="P396" s="87"/>
    </row>
    <row r="399" spans="1:24"/>
    <row r="400" spans="1:24"/>
    <row r="401" spans="3:3"/>
    <row r="402" spans="3:3"/>
    <row r="403" spans="3:3"/>
    <row r="404" spans="3:3"/>
    <row r="405" spans="3:3" ht="9.5" hidden="1">
      <c r="C405" s="82"/>
    </row>
    <row r="406" spans="3:3" ht="9.5" hidden="1">
      <c r="C406" s="82"/>
    </row>
    <row r="407" spans="3:3" ht="9.5" hidden="1">
      <c r="C407" s="82"/>
    </row>
    <row r="408" spans="3:3" ht="9.5" hidden="1">
      <c r="C408" s="82"/>
    </row>
    <row r="409" spans="3:3" ht="9.5" hidden="1">
      <c r="C409" s="82"/>
    </row>
    <row r="410" spans="3:3" ht="9.5" hidden="1">
      <c r="C410" s="82"/>
    </row>
    <row r="411" spans="3:3" ht="9.5" hidden="1">
      <c r="C411" s="82"/>
    </row>
    <row r="412" spans="3:3" ht="9.5" hidden="1">
      <c r="C412" s="82"/>
    </row>
    <row r="413" spans="3:3" ht="9.5" hidden="1">
      <c r="C413" s="82"/>
    </row>
    <row r="414" spans="3:3" ht="9.5" hidden="1">
      <c r="C414" s="82"/>
    </row>
    <row r="415" spans="3:3" ht="9.5" hidden="1">
      <c r="C415" s="82"/>
    </row>
    <row r="416" spans="3:3" ht="9.5" hidden="1">
      <c r="C416" s="82"/>
    </row>
    <row r="417" s="82" customFormat="1" ht="9.5" hidden="1"/>
    <row r="418" s="82" customFormat="1" ht="9.5" hidden="1"/>
    <row r="419" s="82" customFormat="1" ht="9.5" hidden="1"/>
    <row r="420" s="82" customFormat="1" ht="9.5" hidden="1"/>
    <row r="421" s="82" customFormat="1" ht="9.5" hidden="1"/>
    <row r="422" s="82" customFormat="1" ht="9.5" hidden="1"/>
    <row r="423" s="82" customFormat="1" ht="9.5" hidden="1"/>
    <row r="424" s="82" customFormat="1" ht="9.5" hidden="1"/>
    <row r="425" s="82" customFormat="1" ht="9.5" hidden="1"/>
    <row r="426" s="82" customFormat="1" ht="9.5" hidden="1"/>
    <row r="427" s="82" customFormat="1" ht="9.5" hidden="1"/>
    <row r="428" s="82" customFormat="1" ht="9.5" hidden="1"/>
    <row r="429" s="82" customFormat="1" ht="9.5" hidden="1"/>
    <row r="430" s="82" customFormat="1" ht="9.5" hidden="1"/>
    <row r="431" s="82" customFormat="1" ht="9.5" hidden="1"/>
    <row r="432" s="82" customFormat="1" ht="9.5" hidden="1"/>
    <row r="433" spans="3:3" ht="9.5" hidden="1">
      <c r="C433" s="82"/>
    </row>
    <row r="434" spans="3:3" ht="9.5" hidden="1">
      <c r="C434" s="82"/>
    </row>
    <row r="435" spans="3:3" ht="9.5" hidden="1">
      <c r="C435" s="82"/>
    </row>
    <row r="436" spans="3:3" ht="9.5" hidden="1">
      <c r="C436" s="82"/>
    </row>
    <row r="437" spans="3:3" ht="9.5" hidden="1">
      <c r="C437" s="82"/>
    </row>
    <row r="438" spans="3:3" ht="9.5" hidden="1">
      <c r="C438" s="82"/>
    </row>
    <row r="439" spans="3:3" ht="9.5" hidden="1">
      <c r="C439" s="82"/>
    </row>
    <row r="440" spans="3:3" ht="9.5" hidden="1">
      <c r="C440" s="82"/>
    </row>
    <row r="441" spans="3:3" ht="9.5" hidden="1">
      <c r="C441" s="82"/>
    </row>
    <row r="442" spans="3:3" ht="9.5" hidden="1">
      <c r="C442" s="82"/>
    </row>
    <row r="443" spans="3:3" ht="9.5" hidden="1">
      <c r="C443" s="82"/>
    </row>
    <row r="444" spans="3:3" ht="9.5" hidden="1">
      <c r="C444" s="82"/>
    </row>
    <row r="445" spans="3:3" ht="9.5" hidden="1">
      <c r="C445" s="82"/>
    </row>
    <row r="446" spans="3:3" ht="9.5" hidden="1">
      <c r="C446" s="82"/>
    </row>
    <row r="447" spans="3:3" ht="9.5" hidden="1">
      <c r="C447" s="82"/>
    </row>
    <row r="448" spans="3:3"/>
    <row r="449"/>
    <row r="450"/>
    <row r="451"/>
    <row r="452"/>
    <row r="453"/>
    <row r="454"/>
    <row r="461"/>
  </sheetData>
  <sheetProtection algorithmName="SHA-512" hashValue="UzLhKmfsFnM7LKjjLgUChHazlz/sR4sGOqBDvkug8LgQKZf0orWO11UjqMqVM4OLLtnLl5ynRlDhB0f/maf/Dg==" saltValue="hRws1wR20ObZ3xhSIULwXg==" spinCount="100000" sheet="1" formatColumns="0" formatRows="0"/>
  <customSheetViews>
    <customSheetView guid="{9A24DFA8-2F1F-40ED-973B-20A00514A0EB}" hiddenRows="1" hiddenColumns="1"/>
  </customSheetViews>
  <mergeCells count="212">
    <mergeCell ref="D108:P109"/>
    <mergeCell ref="D106:P106"/>
    <mergeCell ref="D317:P318"/>
    <mergeCell ref="D245:Y245"/>
    <mergeCell ref="F182:V182"/>
    <mergeCell ref="D184:Y184"/>
    <mergeCell ref="D185:Y185"/>
    <mergeCell ref="D202:Y202"/>
    <mergeCell ref="D200:Y200"/>
    <mergeCell ref="D201:Y201"/>
    <mergeCell ref="F208:V208"/>
    <mergeCell ref="D210:Y210"/>
    <mergeCell ref="D211:Y211"/>
    <mergeCell ref="R191:S191"/>
    <mergeCell ref="R187:S187"/>
    <mergeCell ref="R193:S193"/>
    <mergeCell ref="D212:Y212"/>
    <mergeCell ref="D213:Y213"/>
    <mergeCell ref="J314:P314"/>
    <mergeCell ref="M312:N312"/>
    <mergeCell ref="J312:K312"/>
    <mergeCell ref="G226:J226"/>
    <mergeCell ref="E187:K189"/>
    <mergeCell ref="G191:K191"/>
    <mergeCell ref="G192:K192"/>
    <mergeCell ref="G193:K193"/>
    <mergeCell ref="C298:C299"/>
    <mergeCell ref="D298:D299"/>
    <mergeCell ref="D13:Y13"/>
    <mergeCell ref="G8:U8"/>
    <mergeCell ref="G9:U9"/>
    <mergeCell ref="G11:U11"/>
    <mergeCell ref="D15:Y16"/>
    <mergeCell ref="D25:Y25"/>
    <mergeCell ref="G23:V23"/>
    <mergeCell ref="D26:Y26"/>
    <mergeCell ref="D27:Y27"/>
    <mergeCell ref="G10:S10"/>
    <mergeCell ref="D91:Q91"/>
    <mergeCell ref="D92:Q92"/>
    <mergeCell ref="D136:P136"/>
    <mergeCell ref="D151:X151"/>
    <mergeCell ref="D146:P146"/>
    <mergeCell ref="D102:P103"/>
    <mergeCell ref="N114:X114"/>
    <mergeCell ref="D131:P131"/>
    <mergeCell ref="D135:P135"/>
    <mergeCell ref="V135:X135"/>
    <mergeCell ref="D139:P139"/>
    <mergeCell ref="D143:P143"/>
    <mergeCell ref="D214:Y214"/>
    <mergeCell ref="F218:V218"/>
    <mergeCell ref="D220:Y220"/>
    <mergeCell ref="F243:V243"/>
    <mergeCell ref="J65:K65"/>
    <mergeCell ref="J63:K63"/>
    <mergeCell ref="F65:G66"/>
    <mergeCell ref="D111:P112"/>
    <mergeCell ref="D81:R81"/>
    <mergeCell ref="D105:P105"/>
    <mergeCell ref="D100:P100"/>
    <mergeCell ref="E95:W95"/>
    <mergeCell ref="S81:V81"/>
    <mergeCell ref="N88:X89"/>
    <mergeCell ref="D238:Y238"/>
    <mergeCell ref="G228:J228"/>
    <mergeCell ref="G230:J230"/>
    <mergeCell ref="G232:J232"/>
    <mergeCell ref="F117:V117"/>
    <mergeCell ref="F126:V126"/>
    <mergeCell ref="F155:V155"/>
    <mergeCell ref="R189:S189"/>
    <mergeCell ref="F98:V98"/>
    <mergeCell ref="G195:K195"/>
    <mergeCell ref="B38:B43"/>
    <mergeCell ref="C38:C39"/>
    <mergeCell ref="D38:D39"/>
    <mergeCell ref="C40:C41"/>
    <mergeCell ref="D40:D41"/>
    <mergeCell ref="C42:C43"/>
    <mergeCell ref="D42:D43"/>
    <mergeCell ref="B45:B52"/>
    <mergeCell ref="C45:C46"/>
    <mergeCell ref="D45:D46"/>
    <mergeCell ref="C47:C48"/>
    <mergeCell ref="D47:D48"/>
    <mergeCell ref="C49:C50"/>
    <mergeCell ref="D49:D50"/>
    <mergeCell ref="C51:C52"/>
    <mergeCell ref="D51:D52"/>
    <mergeCell ref="J55:K55"/>
    <mergeCell ref="F61:G62"/>
    <mergeCell ref="F58:G59"/>
    <mergeCell ref="J62:K62"/>
    <mergeCell ref="J61:K61"/>
    <mergeCell ref="J58:K58"/>
    <mergeCell ref="B29:B36"/>
    <mergeCell ref="C29:C30"/>
    <mergeCell ref="D29:D30"/>
    <mergeCell ref="C31:C32"/>
    <mergeCell ref="D31:D32"/>
    <mergeCell ref="C33:C34"/>
    <mergeCell ref="D33:D34"/>
    <mergeCell ref="C35:C36"/>
    <mergeCell ref="D35:D36"/>
    <mergeCell ref="G76:H76"/>
    <mergeCell ref="J76:L76"/>
    <mergeCell ref="J89:L89"/>
    <mergeCell ref="D78:Q79"/>
    <mergeCell ref="D55:D56"/>
    <mergeCell ref="F55:G56"/>
    <mergeCell ref="D87:Y87"/>
    <mergeCell ref="E85:V85"/>
    <mergeCell ref="G71:S71"/>
    <mergeCell ref="J66:K66"/>
    <mergeCell ref="D73:Y73"/>
    <mergeCell ref="G196:K196"/>
    <mergeCell ref="B187:D189"/>
    <mergeCell ref="D157:Y157"/>
    <mergeCell ref="J160:Y160"/>
    <mergeCell ref="J167:Y168"/>
    <mergeCell ref="J162:Y163"/>
    <mergeCell ref="J165:Y165"/>
    <mergeCell ref="J170:Y173"/>
    <mergeCell ref="E380:V380"/>
    <mergeCell ref="C275:C277"/>
    <mergeCell ref="D275:D277"/>
    <mergeCell ref="C278:C279"/>
    <mergeCell ref="D278:D279"/>
    <mergeCell ref="C280:C281"/>
    <mergeCell ref="D280:D281"/>
    <mergeCell ref="D329:Q330"/>
    <mergeCell ref="D332:Q333"/>
    <mergeCell ref="D325:Q326"/>
    <mergeCell ref="D335:Q336"/>
    <mergeCell ref="C282:C283"/>
    <mergeCell ref="D282:D283"/>
    <mergeCell ref="B285:B290"/>
    <mergeCell ref="C285:C286"/>
    <mergeCell ref="D285:D286"/>
    <mergeCell ref="E384:V384"/>
    <mergeCell ref="D342:Y342"/>
    <mergeCell ref="D343:Y343"/>
    <mergeCell ref="F340:V340"/>
    <mergeCell ref="H361:K361"/>
    <mergeCell ref="U361:Y361"/>
    <mergeCell ref="U362:Y362"/>
    <mergeCell ref="U363:Y363"/>
    <mergeCell ref="U364:Y364"/>
    <mergeCell ref="H364:K364"/>
    <mergeCell ref="B358:E358"/>
    <mergeCell ref="G358:O358"/>
    <mergeCell ref="Q358:R358"/>
    <mergeCell ref="U358:AG358"/>
    <mergeCell ref="AB345:AE345"/>
    <mergeCell ref="AB347:AD347"/>
    <mergeCell ref="AB349:AD349"/>
    <mergeCell ref="AB351:AD351"/>
    <mergeCell ref="AG360:AG365"/>
    <mergeCell ref="AB353:AD353"/>
    <mergeCell ref="B355:K357"/>
    <mergeCell ref="M355:O357"/>
    <mergeCell ref="Q355:R357"/>
    <mergeCell ref="U355:AG357"/>
    <mergeCell ref="E391:M391"/>
    <mergeCell ref="N391:S391"/>
    <mergeCell ref="N389:P389"/>
    <mergeCell ref="H386:L387"/>
    <mergeCell ref="N386:R387"/>
    <mergeCell ref="E389:M389"/>
    <mergeCell ref="B191:B194"/>
    <mergeCell ref="D191:D193"/>
    <mergeCell ref="D194:D197"/>
    <mergeCell ref="B195:B197"/>
    <mergeCell ref="D321:P322"/>
    <mergeCell ref="J310:P310"/>
    <mergeCell ref="D301:X301"/>
    <mergeCell ref="D254:Y254"/>
    <mergeCell ref="F252:V252"/>
    <mergeCell ref="F305:V305"/>
    <mergeCell ref="D246:Y246"/>
    <mergeCell ref="D247:Y247"/>
    <mergeCell ref="D307:Y307"/>
    <mergeCell ref="D308:Y308"/>
    <mergeCell ref="F255:J255"/>
    <mergeCell ref="O255:S255"/>
    <mergeCell ref="J315:P315"/>
    <mergeCell ref="B275:B283"/>
    <mergeCell ref="C287:C288"/>
    <mergeCell ref="D287:D288"/>
    <mergeCell ref="C289:C290"/>
    <mergeCell ref="D289:D290"/>
    <mergeCell ref="H362:K362"/>
    <mergeCell ref="B366:B369"/>
    <mergeCell ref="C366:E369"/>
    <mergeCell ref="AB366:AF369"/>
    <mergeCell ref="AG366:AG369"/>
    <mergeCell ref="H368:K368"/>
    <mergeCell ref="U368:Y368"/>
    <mergeCell ref="H367:K367"/>
    <mergeCell ref="U367:Y367"/>
    <mergeCell ref="U365:Y365"/>
    <mergeCell ref="B360:B365"/>
    <mergeCell ref="C360:E365"/>
    <mergeCell ref="AB360:AF365"/>
    <mergeCell ref="B292:B299"/>
    <mergeCell ref="C292:C293"/>
    <mergeCell ref="D292:D293"/>
    <mergeCell ref="C294:C295"/>
    <mergeCell ref="D294:D295"/>
    <mergeCell ref="C296:C297"/>
    <mergeCell ref="D296:D297"/>
  </mergeCells>
  <dataValidations disablePrompts="1" count="2">
    <dataValidation type="list" allowBlank="1" showInputMessage="1" showErrorMessage="1" sqref="S79 S106 S109 S112 S330 S333 S335:S336" xr:uid="{00000000-0002-0000-0100-000000000000}">
      <formula1>_01A_Ja_Nein_Weiss_nicht</formula1>
    </dataValidation>
    <dataValidation type="list" allowBlank="1" showInputMessage="1" showErrorMessage="1" sqref="S92 S318" xr:uid="{00000000-0002-0000-0100-000001000000}">
      <formula1>_01Abis_Ja_Nein_Teilweise_Weiss_nicht</formula1>
    </dataValidation>
  </dataValidations>
  <hyperlinks>
    <hyperlink ref="N391" r:id="rId1" display="www.snbs.ch" xr:uid="{00000000-0004-0000-0100-000000000000}"/>
    <hyperlink ref="N389" r:id="rId2" xr:uid="{00000000-0004-0000-0100-000001000000}"/>
    <hyperlink ref="N391:P391" r:id="rId3" display="https://www.nnbs.ch/standard-snbs-hochbau" xr:uid="{E038FD66-B5B7-4097-8829-D945607EE521}"/>
  </hyperlinks>
  <pageMargins left="0.70866141732283472" right="0.70866141732283472" top="0.78740157480314965" bottom="0.78740157480314965" header="0.31496062992125984" footer="0.31496062992125984"/>
  <pageSetup paperSize="9" orientation="portrait" verticalDpi="1200" r:id="rId4"/>
  <ignoredErrors>
    <ignoredError sqref="D69 D96 D83 D115 G2 G4 J2 M2 M4 P4 J4 D124 D153 D180 D206 D216 D241 D250 D303 M312 P312 D338 Y21 Y69 Y83 Y96 Y115 Y124 Y153 Y180 Y206 Y216 Y241 Y250 Y303 Y338 Y378 N386 H386 D378" unlockedFormula="1"/>
  </ignoredErrors>
  <drawing r:id="rId5"/>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68B397DD-DE25-4351-834E-FDB362B47923}">
          <x14:formula1>
            <xm:f>Text!$AR$4</xm:f>
          </x14:formula1>
          <xm:sqref>S131</xm:sqref>
        </x14:dataValidation>
        <x14:dataValidation type="list" allowBlank="1" showInputMessage="1" showErrorMessage="1" xr:uid="{00000000-0002-0000-0100-000003000000}">
          <x14:formula1>
            <xm:f>Text!$AQ$5</xm:f>
          </x14:formula1>
          <xm:sqref>S103 S146 S136</xm:sqref>
        </x14:dataValidation>
        <x14:dataValidation type="list" allowBlank="1" showInputMessage="1" showErrorMessage="1" xr:uid="{00000000-0002-0000-0100-000004000000}">
          <x14:formula1>
            <xm:f>Text!$AQ$6</xm:f>
          </x14:formula1>
          <xm:sqref>S143</xm:sqref>
        </x14:dataValidation>
        <x14:dataValidation type="list" allowBlank="1" showInputMessage="1" showErrorMessage="1" xr:uid="{00000000-0002-0000-0100-000005000000}">
          <x14:formula1>
            <xm:f>Text!$AQ$4</xm:f>
          </x14:formula1>
          <xm:sqref>S322 S139</xm:sqref>
        </x14:dataValidation>
        <x14:dataValidation type="list" allowBlank="1" showInputMessage="1" showErrorMessage="1" xr:uid="{8A48A09E-E720-4A2B-9C31-80ED0AE0A223}">
          <x14:formula1>
            <xm:f>Text!AQ5</xm:f>
          </x14:formula1>
          <xm:sqref>S326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03">
    <pageSetUpPr fitToPage="1"/>
  </sheetPr>
  <dimension ref="A1:XFD951"/>
  <sheetViews>
    <sheetView showGridLines="0" showRowColHeaders="0" zoomScale="75" zoomScaleNormal="75" workbookViewId="0">
      <pane ySplit="55" topLeftCell="A56" activePane="bottomLeft" state="frozenSplit"/>
      <selection pane="bottomLeft"/>
    </sheetView>
  </sheetViews>
  <sheetFormatPr baseColWidth="10" defaultColWidth="6.54296875" defaultRowHeight="14.5" zeroHeight="1"/>
  <cols>
    <col min="1" max="1" width="2.54296875" style="1" customWidth="1"/>
    <col min="2" max="2" width="5.453125" style="3" customWidth="1"/>
    <col min="3" max="3" width="2.54296875" style="4" customWidth="1"/>
    <col min="4" max="4" width="28.54296875" style="1" customWidth="1"/>
    <col min="5" max="5" width="0.1796875" style="1" customWidth="1"/>
    <col min="6" max="6" width="5.453125" style="1" customWidth="1"/>
    <col min="7" max="7" width="23.7265625" style="1" customWidth="1"/>
    <col min="8" max="8" width="0.1796875" style="1" customWidth="1"/>
    <col min="9" max="9" width="5.453125" style="1" customWidth="1"/>
    <col min="10" max="10" width="23.7265625" style="1" customWidth="1"/>
    <col min="11" max="11" width="0.1796875" style="1" customWidth="1"/>
    <col min="12" max="12" width="5.453125" style="1" customWidth="1"/>
    <col min="13" max="13" width="23.7265625" style="1" customWidth="1"/>
    <col min="14" max="14" width="0.1796875" style="1" customWidth="1"/>
    <col min="15" max="15" width="5.453125" style="1" customWidth="1"/>
    <col min="16" max="16" width="23.7265625" style="4" customWidth="1"/>
    <col min="17" max="17" width="0.1796875" style="4" customWidth="1"/>
    <col min="18" max="18" width="5.453125" style="4" customWidth="1"/>
    <col min="19" max="19" width="23.7265625" style="4" customWidth="1"/>
    <col min="20" max="20" width="0.1796875" style="1" customWidth="1"/>
    <col min="21" max="21" width="5.453125" style="1" customWidth="1"/>
    <col min="22" max="22" width="21" style="6" customWidth="1"/>
    <col min="23" max="23" width="1.54296875" style="1" customWidth="1"/>
    <col min="24" max="24" width="5.453125" style="1" customWidth="1"/>
    <col min="25" max="25" width="21" style="10" customWidth="1"/>
    <col min="26" max="16383" width="0" style="1" hidden="1" customWidth="1"/>
    <col min="16384" max="16384" width="1.54296875" style="1" customWidth="1"/>
  </cols>
  <sheetData>
    <row r="1" spans="1:26 16384:16384" s="90" customFormat="1" ht="5.15" customHeight="1">
      <c r="C1" s="48"/>
    </row>
    <row r="2" spans="1:26 16384:16384" s="14" customFormat="1" ht="20.149999999999999" customHeight="1" thickBot="1">
      <c r="B2" s="177"/>
      <c r="C2" s="16"/>
      <c r="D2" s="178" t="str">
        <f>Text!C314</f>
        <v>Im Pre-Check navigieren</v>
      </c>
      <c r="G2" s="191" t="str">
        <f>Text!C313</f>
        <v>Sprachenauswahl</v>
      </c>
      <c r="H2" s="151"/>
      <c r="I2" s="151"/>
      <c r="J2" s="191" t="str">
        <f>Text!C316</f>
        <v>Zur Einleitung</v>
      </c>
      <c r="K2" s="151"/>
      <c r="L2" s="151"/>
      <c r="M2" s="191" t="str">
        <f>Text!C319</f>
        <v>Zum Ergebnis</v>
      </c>
      <c r="N2" s="151"/>
      <c r="O2" s="151"/>
      <c r="P2" s="191" t="str">
        <f>Text!C318</f>
        <v>Info</v>
      </c>
      <c r="S2" s="191" t="str">
        <f>Text!C26</f>
        <v>Antworten löschen</v>
      </c>
      <c r="T2" s="1"/>
      <c r="U2" s="1"/>
      <c r="V2" s="764">
        <f>IF(OR(Tool!H18="Pre-Check &amp; Klima-Check",Tool!H18="Pre-Check &amp; Check Climat",Tool!H18="Pre-Check &amp; Check Clima"),2,IF(Tool!H18="Pre-Check",0,1))</f>
        <v>1</v>
      </c>
    </row>
    <row r="3" spans="1:26 16384:16384" s="14" customFormat="1" ht="10.4" customHeight="1" thickTop="1">
      <c r="B3" s="177"/>
      <c r="C3" s="16"/>
      <c r="D3" s="178"/>
      <c r="G3" s="93"/>
      <c r="J3" s="93"/>
      <c r="M3" s="93"/>
      <c r="P3" s="93"/>
      <c r="V3" s="639"/>
    </row>
    <row r="4" spans="1:26 16384:16384" s="14" customFormat="1" ht="20.149999999999999" customHeight="1" thickBot="1">
      <c r="B4" s="177"/>
      <c r="C4" s="16"/>
      <c r="D4" s="178" t="str">
        <f>Text!C315</f>
        <v>Im Fenster navigieren</v>
      </c>
      <c r="G4" s="191" t="str">
        <f>Text!C6</f>
        <v>Erster Fragenteil</v>
      </c>
      <c r="H4" s="151"/>
      <c r="I4" s="151"/>
      <c r="J4" s="191" t="str">
        <f>Text!AK23</f>
        <v>Gesellschaft</v>
      </c>
      <c r="K4" s="151"/>
      <c r="L4" s="151"/>
      <c r="M4" s="191" t="str">
        <f>Text!AK38</f>
        <v>Wirtschaft</v>
      </c>
      <c r="N4" s="151"/>
      <c r="O4" s="151"/>
      <c r="P4" s="191" t="str">
        <f>Text!AK46</f>
        <v>Umwelt</v>
      </c>
      <c r="V4" s="639">
        <f>Tool!H18</f>
        <v>0</v>
      </c>
    </row>
    <row r="5" spans="1:26 16384:16384" ht="10" customHeight="1" thickTop="1" thickBot="1">
      <c r="A5" s="13"/>
      <c r="B5" s="216"/>
      <c r="G5" s="48"/>
      <c r="J5" s="48"/>
      <c r="M5" s="48"/>
      <c r="P5" s="92"/>
      <c r="Y5"/>
    </row>
    <row r="6" spans="1:26 16384:16384" s="219" customFormat="1" ht="10.4" customHeight="1" thickTop="1" thickBot="1">
      <c r="A6" s="14"/>
      <c r="B6" s="1732" t="str">
        <f>Text!$AK$23</f>
        <v>Gesellschaft</v>
      </c>
      <c r="C6" s="1752">
        <f>Text!$AM$23</f>
        <v>11</v>
      </c>
      <c r="D6" s="1753" t="str">
        <f>Text!$AP$23</f>
        <v>Qualität der Entwicklung</v>
      </c>
      <c r="E6" s="1142"/>
      <c r="F6" s="1337">
        <f>Text!$AQ$23</f>
        <v>111</v>
      </c>
      <c r="G6" s="1338" t="str">
        <f>Text!$AO$23</f>
        <v>Ziele &amp; Pflichtenhefte</v>
      </c>
      <c r="H6" s="1339" t="s">
        <v>1444</v>
      </c>
      <c r="I6" s="1337">
        <f>Text!$AQ$24</f>
        <v>112</v>
      </c>
      <c r="J6" s="1338" t="str">
        <f>Text!$AO$24</f>
        <v>Städtebau &amp; Architektur</v>
      </c>
      <c r="K6" s="1340" t="s">
        <v>1444</v>
      </c>
      <c r="L6" s="1337">
        <f>Text!$AQ$25</f>
        <v>113</v>
      </c>
      <c r="M6" s="1338" t="str">
        <f>Text!$AO$25</f>
        <v>Partizipation</v>
      </c>
      <c r="N6" s="1341"/>
      <c r="O6" s="1342"/>
      <c r="P6" s="1343"/>
      <c r="Q6" s="1343"/>
      <c r="R6" s="1343"/>
      <c r="S6" s="1343"/>
      <c r="T6" s="1342"/>
      <c r="U6" s="1342"/>
      <c r="V6" s="1344"/>
      <c r="W6" s="1345"/>
      <c r="X6" s="1342"/>
      <c r="Y6" s="1346"/>
      <c r="Z6" s="218"/>
      <c r="XFD6" s="14"/>
    </row>
    <row r="7" spans="1:26 16384:16384" s="14" customFormat="1" ht="10.4" customHeight="1" thickTop="1" thickBot="1">
      <c r="B7" s="1732"/>
      <c r="C7" s="1752"/>
      <c r="D7" s="1753"/>
      <c r="E7" s="1142"/>
      <c r="F7" s="1347" t="str">
        <f>Text!$AT$23</f>
        <v>K111</v>
      </c>
      <c r="G7" s="1348" t="str">
        <f>Text!$AN$23</f>
        <v>Ziele &amp; Pflichtenhefte Klima</v>
      </c>
      <c r="H7" s="1339" t="s">
        <v>1444</v>
      </c>
      <c r="I7" s="1347" t="str">
        <f>Text!$AT$24</f>
        <v>K112a</v>
      </c>
      <c r="J7" s="1348" t="str">
        <f>Text!$AN$24</f>
        <v>Klimaangepasster Städtebau</v>
      </c>
      <c r="K7" s="1349"/>
      <c r="L7" s="1347" t="str">
        <f>Text!$AT$26</f>
        <v>K113a</v>
      </c>
      <c r="M7" s="1348" t="str">
        <f>Text!$AN$26</f>
        <v>Sensibilisierung &amp; Nutzerverhalten</v>
      </c>
      <c r="N7" s="1341"/>
      <c r="O7" s="1342"/>
      <c r="P7" s="1343"/>
      <c r="Q7" s="1343"/>
      <c r="R7" s="1343"/>
      <c r="S7" s="1343"/>
      <c r="T7" s="1342"/>
      <c r="U7" s="1342"/>
      <c r="V7" s="1344"/>
      <c r="W7" s="1345"/>
      <c r="X7" s="1342"/>
      <c r="Y7" s="1346"/>
      <c r="Z7" s="58"/>
    </row>
    <row r="8" spans="1:26 16384:16384" s="14" customFormat="1" ht="10.4" customHeight="1" thickTop="1" thickBot="1">
      <c r="B8" s="1732"/>
      <c r="C8" s="1752"/>
      <c r="D8" s="1753"/>
      <c r="E8" s="1139"/>
      <c r="F8" s="1350"/>
      <c r="G8" s="1350"/>
      <c r="H8" s="1351"/>
      <c r="I8" s="1352" t="str">
        <f>Text!$AT$25</f>
        <v>K112b</v>
      </c>
      <c r="J8" s="1348" t="str">
        <f>Text!$AN$25</f>
        <v>Klimaangepasstes Planerwahlverfahren</v>
      </c>
      <c r="K8" s="1349" t="s">
        <v>1444</v>
      </c>
      <c r="L8" s="1347" t="str">
        <f>Text!$AT$27</f>
        <v>K113b</v>
      </c>
      <c r="M8" s="1348" t="str">
        <f>Text!$AN$27</f>
        <v>Partizipation im Klimaschutz</v>
      </c>
      <c r="N8" s="1341"/>
      <c r="O8" s="1342"/>
      <c r="P8" s="1343"/>
      <c r="Q8" s="1343"/>
      <c r="R8" s="1343"/>
      <c r="S8" s="1343"/>
      <c r="T8" s="1342"/>
      <c r="U8" s="1342"/>
      <c r="V8" s="1344"/>
      <c r="W8" s="1345"/>
      <c r="X8" s="1342"/>
      <c r="Y8" s="1346"/>
      <c r="Z8" s="58"/>
    </row>
    <row r="9" spans="1:26 16384:16384" s="219" customFormat="1" ht="10.4" customHeight="1" thickTop="1" thickBot="1">
      <c r="A9" s="14"/>
      <c r="B9" s="1732"/>
      <c r="C9" s="1752">
        <f>Text!$AM$26</f>
        <v>12</v>
      </c>
      <c r="D9" s="1753" t="str">
        <f>Text!$AP$26</f>
        <v>Angebot &amp; Erreichbarkeit</v>
      </c>
      <c r="E9" s="1142"/>
      <c r="F9" s="1337">
        <f>Text!$AQ$26</f>
        <v>121</v>
      </c>
      <c r="G9" s="1338" t="str">
        <f>Text!$AO$26</f>
        <v>Erreichbarkeit &amp; Nutzungsang.</v>
      </c>
      <c r="H9" s="1353" t="s">
        <v>1444</v>
      </c>
      <c r="I9" s="1337">
        <f>Text!$AQ$27</f>
        <v>122</v>
      </c>
      <c r="J9" s="1338" t="str">
        <f>Text!$AO$27</f>
        <v>Hindernisfreies Bauen</v>
      </c>
      <c r="K9" s="1354"/>
      <c r="L9" s="1355"/>
      <c r="M9" s="1356"/>
      <c r="N9" s="1357"/>
      <c r="O9" s="1358"/>
      <c r="P9" s="1357"/>
      <c r="Q9" s="1357"/>
      <c r="R9" s="1358"/>
      <c r="S9" s="1357"/>
      <c r="T9" s="1343"/>
      <c r="U9" s="1342"/>
      <c r="V9" s="1344"/>
      <c r="W9" s="1345"/>
      <c r="X9" s="1342"/>
      <c r="Y9" s="1346"/>
      <c r="XFD9" s="14"/>
    </row>
    <row r="10" spans="1:26 16384:16384" s="18" customFormat="1" ht="10.4" customHeight="1" thickTop="1" thickBot="1">
      <c r="B10" s="1732"/>
      <c r="C10" s="1752"/>
      <c r="D10" s="1753"/>
      <c r="E10" s="1150"/>
      <c r="F10" s="1347" t="str">
        <f>Text!$AT$28</f>
        <v>K121</v>
      </c>
      <c r="G10" s="1348" t="str">
        <f>Text!$AN$28</f>
        <v>Abkühlungsangebot im Quartier</v>
      </c>
      <c r="H10" s="1339"/>
      <c r="I10" s="1347" t="str">
        <f>Text!$AT$29</f>
        <v>K122</v>
      </c>
      <c r="J10" s="1348" t="str">
        <f>Text!$AN$29</f>
        <v>Bauen mit Abkühlungshilfen</v>
      </c>
      <c r="K10" s="1341"/>
      <c r="L10" s="1359"/>
      <c r="M10" s="1342"/>
      <c r="N10" s="1342"/>
      <c r="O10" s="1359"/>
      <c r="P10" s="1342"/>
      <c r="Q10" s="1342"/>
      <c r="R10" s="1359"/>
      <c r="S10" s="1342"/>
      <c r="T10" s="1342"/>
      <c r="U10" s="1342"/>
      <c r="V10" s="1344"/>
      <c r="W10" s="1345"/>
      <c r="X10" s="1342"/>
      <c r="Y10" s="1346"/>
    </row>
    <row r="11" spans="1:26 16384:16384" s="220" customFormat="1" ht="10.4" customHeight="1" thickTop="1" thickBot="1">
      <c r="A11" s="18"/>
      <c r="B11" s="1732"/>
      <c r="C11" s="1752">
        <f>Text!$AM$28</f>
        <v>13</v>
      </c>
      <c r="D11" s="1753" t="str">
        <f>Text!$AP$28</f>
        <v>Gebrauchsqualität</v>
      </c>
      <c r="E11" s="1142"/>
      <c r="F11" s="1337">
        <f>Text!$AQ$28</f>
        <v>131</v>
      </c>
      <c r="G11" s="1338" t="str">
        <f>Text!$AO$28</f>
        <v>Räume sozialer Interaktion</v>
      </c>
      <c r="H11" s="1349"/>
      <c r="I11" s="1337">
        <f>Text!$AQ$29</f>
        <v>132</v>
      </c>
      <c r="J11" s="1338" t="str">
        <f>Text!$AO$29</f>
        <v>Sicherheit</v>
      </c>
      <c r="K11" s="1341"/>
      <c r="L11" s="1358"/>
      <c r="M11" s="1357"/>
      <c r="N11" s="1360"/>
      <c r="O11" s="1358"/>
      <c r="P11" s="1357"/>
      <c r="Q11" s="1357"/>
      <c r="R11" s="1358"/>
      <c r="S11" s="1357"/>
      <c r="T11" s="1342"/>
      <c r="U11" s="1342"/>
      <c r="V11" s="1344"/>
      <c r="W11" s="1345"/>
      <c r="X11" s="1342"/>
      <c r="Y11" s="1346"/>
      <c r="XFD11" s="18"/>
    </row>
    <row r="12" spans="1:26 16384:16384" s="18" customFormat="1" ht="10.4" customHeight="1" thickTop="1" thickBot="1">
      <c r="B12" s="1732"/>
      <c r="C12" s="1752"/>
      <c r="D12" s="1753"/>
      <c r="E12" s="1150"/>
      <c r="F12" s="1347" t="str">
        <f>Text!$AT$30</f>
        <v>K131</v>
      </c>
      <c r="G12" s="1348" t="str">
        <f>Text!$AN$30</f>
        <v>Abkühlungsang. halböffentl. Räume</v>
      </c>
      <c r="H12" s="1361" t="s">
        <v>1444</v>
      </c>
      <c r="I12" s="1362"/>
      <c r="J12" s="1350"/>
      <c r="K12" s="1363"/>
      <c r="L12" s="1364"/>
      <c r="M12" s="1363"/>
      <c r="N12" s="1363"/>
      <c r="O12" s="1364"/>
      <c r="P12" s="1363"/>
      <c r="Q12" s="1363"/>
      <c r="R12" s="1364"/>
      <c r="S12" s="1363"/>
      <c r="T12" s="1363"/>
      <c r="U12" s="1363"/>
      <c r="V12" s="1365"/>
      <c r="W12" s="1366"/>
      <c r="X12" s="1363"/>
      <c r="Y12" s="1367"/>
    </row>
    <row r="13" spans="1:26 16384:16384" s="220" customFormat="1" ht="10.4" customHeight="1" thickTop="1" thickBot="1">
      <c r="A13" s="18"/>
      <c r="B13" s="1732"/>
      <c r="C13" s="1752">
        <f>Text!$AM$30</f>
        <v>14</v>
      </c>
      <c r="D13" s="1753" t="str">
        <f>Text!$AP$30</f>
        <v>Wohlbefinden &amp; Gesundheit</v>
      </c>
      <c r="E13" s="1142"/>
      <c r="F13" s="1337" t="str">
        <f>Text!$AQ$30</f>
        <v>141</v>
      </c>
      <c r="G13" s="1338" t="str">
        <f>Text!$AO$30</f>
        <v>Raumluftqualität</v>
      </c>
      <c r="H13" s="1369"/>
      <c r="I13" s="1337">
        <f>Text!$AQ$31</f>
        <v>142</v>
      </c>
      <c r="J13" s="1338" t="str">
        <f>Text!$AO$31</f>
        <v>Schadstoffe &amp; Strahlung</v>
      </c>
      <c r="K13" s="1349"/>
      <c r="L13" s="1370">
        <f>Text!$AQ$32</f>
        <v>143</v>
      </c>
      <c r="M13" s="1338" t="str">
        <f>Text!$AO$32</f>
        <v>Mikroklima</v>
      </c>
      <c r="N13" s="1349"/>
      <c r="O13" s="1370">
        <f>Text!$AQ$33</f>
        <v>144</v>
      </c>
      <c r="P13" s="1338" t="str">
        <f>Text!$AO$33</f>
        <v>Sommerlicher Wärmeschutz</v>
      </c>
      <c r="Q13" s="1349"/>
      <c r="R13" s="1337">
        <f>Text!$AQ$34</f>
        <v>145</v>
      </c>
      <c r="S13" s="1338" t="str">
        <f>Text!$AO$34</f>
        <v>Winterlicher Wärmeschutz</v>
      </c>
      <c r="T13" s="1349"/>
      <c r="U13" s="1337">
        <f>Text!$AQ$35</f>
        <v>146</v>
      </c>
      <c r="V13" s="1338" t="str">
        <f>Text!$AO$35</f>
        <v>Tageslicht</v>
      </c>
      <c r="W13" s="1371"/>
      <c r="X13" s="1337">
        <f>Text!$AQ$36</f>
        <v>147</v>
      </c>
      <c r="Y13" s="1338" t="str">
        <f>Text!$AO$36</f>
        <v>Schallschutz</v>
      </c>
      <c r="XFD13" s="18"/>
    </row>
    <row r="14" spans="1:26 16384:16384" s="220" customFormat="1" ht="10.4" customHeight="1" thickTop="1" thickBot="1">
      <c r="A14" s="18"/>
      <c r="B14" s="1732"/>
      <c r="C14" s="1752"/>
      <c r="D14" s="1753"/>
      <c r="E14" s="1139"/>
      <c r="F14" s="1372"/>
      <c r="G14" s="1373"/>
      <c r="H14" s="1342"/>
      <c r="I14" s="1372"/>
      <c r="J14" s="1373"/>
      <c r="K14" s="1373"/>
      <c r="L14" s="1372"/>
      <c r="M14" s="1373"/>
      <c r="N14" s="1374"/>
      <c r="O14" s="1347" t="str">
        <f>Text!$AT$31</f>
        <v>K144</v>
      </c>
      <c r="P14" s="1348" t="str">
        <f>Text!$AN$31</f>
        <v>Behaglichkeit im Klimaw.</v>
      </c>
      <c r="Q14" s="1349"/>
      <c r="R14" s="1375"/>
      <c r="S14" s="1349"/>
      <c r="T14" s="1349"/>
      <c r="U14" s="1347" t="str">
        <f>Text!$AT$32</f>
        <v>K146</v>
      </c>
      <c r="V14" s="1348" t="str">
        <f>Text!$AN$32</f>
        <v>Visueller Komfort im Klimaw.</v>
      </c>
      <c r="W14" s="1371"/>
      <c r="X14" s="1375"/>
      <c r="Y14" s="1349"/>
      <c r="XFD14" s="18"/>
    </row>
    <row r="15" spans="1:26 16384:16384" s="18" customFormat="1" ht="10.4" customHeight="1" thickTop="1" thickBot="1">
      <c r="B15" s="1140"/>
      <c r="C15" s="649"/>
      <c r="D15" s="1141"/>
      <c r="E15" s="2"/>
      <c r="F15" s="1359"/>
      <c r="G15" s="1342"/>
      <c r="H15" s="1342"/>
      <c r="I15" s="1359"/>
      <c r="J15" s="1342"/>
      <c r="K15" s="1342"/>
      <c r="L15" s="1359"/>
      <c r="M15" s="1342"/>
      <c r="N15" s="1342"/>
      <c r="O15" s="1372"/>
      <c r="P15" s="1373"/>
      <c r="Q15" s="1373"/>
      <c r="R15" s="1372"/>
      <c r="S15" s="1373"/>
      <c r="T15" s="1373"/>
      <c r="U15" s="1372"/>
      <c r="V15" s="1376"/>
      <c r="W15" s="1377"/>
      <c r="X15" s="1373"/>
      <c r="Y15" s="1378"/>
    </row>
    <row r="16" spans="1:26 16384:16384" s="14" customFormat="1" ht="10.4" customHeight="1" thickTop="1" thickBot="1">
      <c r="B16" s="1754" t="str">
        <f>Text!$AK$38</f>
        <v>Wirtschaft</v>
      </c>
      <c r="C16" s="1691">
        <f>Text!$AM$38</f>
        <v>21</v>
      </c>
      <c r="D16" s="1692" t="str">
        <f>Text!$AP$38</f>
        <v>Lebenszyklus</v>
      </c>
      <c r="E16" s="113"/>
      <c r="F16" s="1379">
        <f>Text!$AQ$38</f>
        <v>211</v>
      </c>
      <c r="G16" s="1380" t="str">
        <f>Text!$AO$38</f>
        <v>Lebenszykluskosten</v>
      </c>
      <c r="H16" s="1342"/>
      <c r="I16" s="1337">
        <f>Text!$AQ$39</f>
        <v>212</v>
      </c>
      <c r="J16" s="1380" t="str">
        <f>Text!$AO$39</f>
        <v>Bewirtschaftungsgerechte P &amp; R</v>
      </c>
      <c r="K16" s="1342" t="s">
        <v>1444</v>
      </c>
      <c r="L16" s="1381">
        <f>Text!$AQ$40</f>
        <v>213</v>
      </c>
      <c r="M16" s="1380" t="str">
        <f>Text!$AO$40</f>
        <v>Wiederverwendung &amp; Systemtr.</v>
      </c>
      <c r="N16" s="1382" t="s">
        <v>1444</v>
      </c>
      <c r="O16" s="1359"/>
      <c r="P16" s="1342"/>
      <c r="Q16" s="1342"/>
      <c r="R16" s="1359"/>
      <c r="S16" s="1342"/>
      <c r="T16" s="1342"/>
      <c r="U16" s="1359"/>
      <c r="V16" s="1344"/>
      <c r="W16" s="1345"/>
      <c r="X16" s="1342"/>
      <c r="Y16" s="1346"/>
      <c r="Z16" s="58"/>
    </row>
    <row r="17" spans="1:27 16384:16384" s="14" customFormat="1" ht="10.4" customHeight="1" thickTop="1" thickBot="1">
      <c r="B17" s="1755"/>
      <c r="C17" s="1691"/>
      <c r="D17" s="1692"/>
      <c r="E17" s="221"/>
      <c r="F17" s="1383" t="str">
        <f>Text!$AT$38</f>
        <v>K211</v>
      </c>
      <c r="G17" s="1384" t="str">
        <f>Text!$AN$38</f>
        <v>LZ-Betrachtung im Klimawandel</v>
      </c>
      <c r="H17" s="1382" t="s">
        <v>1444</v>
      </c>
      <c r="I17" s="1385"/>
      <c r="J17" s="1342"/>
      <c r="K17" s="1342"/>
      <c r="L17" s="1386"/>
      <c r="M17" s="1342"/>
      <c r="N17" s="1342"/>
      <c r="O17" s="1359"/>
      <c r="P17" s="1342"/>
      <c r="Q17" s="1343"/>
      <c r="R17" s="1359"/>
      <c r="S17" s="1342"/>
      <c r="T17" s="1343"/>
      <c r="U17" s="1359"/>
      <c r="V17" s="1344"/>
      <c r="W17" s="1345"/>
      <c r="X17" s="1342"/>
      <c r="Y17" s="1346"/>
      <c r="Z17" s="58"/>
    </row>
    <row r="18" spans="1:27 16384:16384" s="220" customFormat="1" ht="10.4" customHeight="1" thickTop="1" thickBot="1">
      <c r="A18" s="18"/>
      <c r="B18" s="1755"/>
      <c r="C18" s="1691">
        <f>Text!$AM$41</f>
        <v>22</v>
      </c>
      <c r="D18" s="1692" t="str">
        <f>Text!$AP$41</f>
        <v>Nutzbarkeit</v>
      </c>
      <c r="E18" s="2"/>
      <c r="F18" s="1379">
        <f>Text!$AQ$41</f>
        <v>221</v>
      </c>
      <c r="G18" s="1380" t="str">
        <f>Text!$AO$41</f>
        <v>Naturgefahren</v>
      </c>
      <c r="H18" s="1342"/>
      <c r="I18" s="1337">
        <f>Text!$AQ$42</f>
        <v>222</v>
      </c>
      <c r="J18" s="1380" t="str">
        <f>Text!$AO$42</f>
        <v>Nutzungsdichte</v>
      </c>
      <c r="K18" s="1342"/>
      <c r="L18" s="1379">
        <f>Text!$AQ$43</f>
        <v>223</v>
      </c>
      <c r="M18" s="1380" t="str">
        <f>Text!$AO$43</f>
        <v>Nutzungsflexib. &amp; -variabilität</v>
      </c>
      <c r="N18" s="1343"/>
      <c r="O18" s="1358"/>
      <c r="P18" s="1357"/>
      <c r="Q18" s="1342"/>
      <c r="R18" s="1359"/>
      <c r="S18" s="1342"/>
      <c r="T18" s="1342"/>
      <c r="U18" s="1359"/>
      <c r="V18" s="1344"/>
      <c r="W18" s="1345"/>
      <c r="X18" s="1342"/>
      <c r="Y18" s="1346"/>
      <c r="XFD18" s="18"/>
    </row>
    <row r="19" spans="1:27 16384:16384" s="18" customFormat="1" ht="10.4" customHeight="1" thickTop="1" thickBot="1">
      <c r="B19" s="1755"/>
      <c r="C19" s="1691"/>
      <c r="D19" s="1692"/>
      <c r="E19" s="217"/>
      <c r="F19" s="1383" t="str">
        <f>Text!$AT$39</f>
        <v>K221</v>
      </c>
      <c r="G19" s="1384" t="str">
        <f>Text!$AN$39</f>
        <v>Standort &amp; Klimawandel</v>
      </c>
      <c r="H19" s="1342"/>
      <c r="I19" s="1358"/>
      <c r="J19" s="1357"/>
      <c r="K19" s="1342"/>
      <c r="L19" s="1383" t="str">
        <f>Text!$AT$40</f>
        <v>K223</v>
      </c>
      <c r="M19" s="1384" t="str">
        <f>Text!$AN$40</f>
        <v>Klima-Flexibilität &amp; Gebrauchstaugl.</v>
      </c>
      <c r="N19" s="1343" t="s">
        <v>1444</v>
      </c>
      <c r="O19" s="1359"/>
      <c r="P19" s="1343"/>
      <c r="Q19" s="1342"/>
      <c r="R19" s="1359"/>
      <c r="S19" s="1343"/>
      <c r="T19" s="1342"/>
      <c r="U19" s="1359"/>
      <c r="V19" s="1344"/>
      <c r="W19" s="1345"/>
      <c r="X19" s="1342"/>
      <c r="Y19" s="1346"/>
    </row>
    <row r="20" spans="1:27 16384:16384" s="220" customFormat="1" ht="10.4" customHeight="1" thickTop="1" thickBot="1">
      <c r="A20" s="18"/>
      <c r="B20" s="1755"/>
      <c r="C20" s="1693">
        <f>Text!$AM$44</f>
        <v>23</v>
      </c>
      <c r="D20" s="1695" t="str">
        <f>Text!$AP$44</f>
        <v>Regionalökonomie</v>
      </c>
      <c r="E20" s="2"/>
      <c r="F20" s="1337">
        <f>Text!$AQ$44</f>
        <v>231</v>
      </c>
      <c r="G20" s="1380" t="str">
        <f>Text!$AO$44</f>
        <v>Regionale Wertschöpfung</v>
      </c>
      <c r="H20" s="1342"/>
      <c r="I20" s="1358"/>
      <c r="J20" s="1357"/>
      <c r="K20" s="1357"/>
      <c r="L20" s="1358"/>
      <c r="M20" s="1357"/>
      <c r="N20" s="1342"/>
      <c r="O20" s="1359"/>
      <c r="P20" s="1342"/>
      <c r="Q20" s="1342"/>
      <c r="R20" s="1359"/>
      <c r="S20" s="1342"/>
      <c r="T20" s="1342"/>
      <c r="U20" s="1359"/>
      <c r="V20" s="1344"/>
      <c r="W20" s="1345"/>
      <c r="X20" s="1342"/>
      <c r="Y20" s="1346"/>
      <c r="XFD20" s="18"/>
    </row>
    <row r="21" spans="1:27 16384:16384" s="220" customFormat="1" ht="10.4" customHeight="1" thickTop="1">
      <c r="A21" s="18"/>
      <c r="B21" s="1756"/>
      <c r="C21" s="1694"/>
      <c r="D21" s="1696"/>
      <c r="E21" s="132"/>
      <c r="F21" s="1387"/>
      <c r="G21" s="1388"/>
      <c r="H21" s="1363"/>
      <c r="I21" s="1387"/>
      <c r="J21" s="1388"/>
      <c r="K21" s="1388"/>
      <c r="L21" s="1387"/>
      <c r="M21" s="1388"/>
      <c r="N21" s="1363"/>
      <c r="O21" s="1364"/>
      <c r="P21" s="1363"/>
      <c r="Q21" s="1363"/>
      <c r="R21" s="1364"/>
      <c r="S21" s="1363"/>
      <c r="T21" s="1363"/>
      <c r="U21" s="1364"/>
      <c r="V21" s="1365"/>
      <c r="W21" s="1345"/>
      <c r="X21" s="1342"/>
      <c r="Y21" s="1346"/>
      <c r="XFD21" s="18"/>
    </row>
    <row r="22" spans="1:27 16384:16384" s="18" customFormat="1" ht="10.4" customHeight="1" thickBot="1">
      <c r="B22" s="1156"/>
      <c r="C22" s="132"/>
      <c r="D22" s="1157"/>
      <c r="E22" s="132"/>
      <c r="F22" s="1364"/>
      <c r="G22" s="1363"/>
      <c r="H22" s="1363"/>
      <c r="I22" s="1364"/>
      <c r="J22" s="1363"/>
      <c r="K22" s="1363"/>
      <c r="L22" s="1364"/>
      <c r="M22" s="1363"/>
      <c r="N22" s="1363"/>
      <c r="O22" s="1364"/>
      <c r="P22" s="1363"/>
      <c r="Q22" s="1363"/>
      <c r="R22" s="1364"/>
      <c r="S22" s="1389"/>
      <c r="T22" s="1363"/>
      <c r="U22" s="1364"/>
      <c r="V22" s="1365"/>
      <c r="W22" s="1345"/>
      <c r="X22" s="1342"/>
      <c r="Y22" s="1346"/>
    </row>
    <row r="23" spans="1:27 16384:16384" s="220" customFormat="1" ht="10.4" customHeight="1" thickTop="1" thickBot="1">
      <c r="A23" s="18"/>
      <c r="B23" s="1703" t="str">
        <f>Text!$AK$46</f>
        <v>Umwelt</v>
      </c>
      <c r="C23" s="1704">
        <f>Text!$AM$46</f>
        <v>31</v>
      </c>
      <c r="D23" s="1705" t="str">
        <f>Text!$AP$46</f>
        <v>Klimaschutz</v>
      </c>
      <c r="E23" s="1152"/>
      <c r="F23" s="1337">
        <f>Text!$AQ$46</f>
        <v>311</v>
      </c>
      <c r="G23" s="1390" t="str">
        <f>Text!$AO$46</f>
        <v>THGE Erstellung</v>
      </c>
      <c r="H23" s="1349"/>
      <c r="I23" s="1337">
        <f>Text!$AQ$47</f>
        <v>312</v>
      </c>
      <c r="J23" s="1390" t="str">
        <f>Text!$AO$47</f>
        <v>THGE Betrieb</v>
      </c>
      <c r="K23" s="1349"/>
      <c r="L23" s="1370">
        <f>Text!$AQ$48</f>
        <v>313</v>
      </c>
      <c r="M23" s="1390" t="str">
        <f>Text!$AO$48</f>
        <v>THGE Mobilität</v>
      </c>
      <c r="N23" s="1349"/>
      <c r="O23" s="1375"/>
      <c r="P23" s="1343"/>
      <c r="Q23" s="1343"/>
      <c r="R23" s="1343"/>
      <c r="S23" s="1343"/>
      <c r="T23" s="1349"/>
      <c r="U23" s="1375"/>
      <c r="V23" s="1391"/>
      <c r="W23" s="1392"/>
      <c r="X23" s="1342"/>
      <c r="Y23" s="1346"/>
      <c r="XFD23" s="18"/>
    </row>
    <row r="24" spans="1:27 16384:16384" s="18" customFormat="1" ht="10.4" customHeight="1" thickTop="1" thickBot="1">
      <c r="B24" s="1703"/>
      <c r="C24" s="1704"/>
      <c r="D24" s="1705"/>
      <c r="E24" s="1152"/>
      <c r="F24" s="1375"/>
      <c r="G24" s="1349"/>
      <c r="H24" s="1349"/>
      <c r="I24" s="1383" t="str">
        <f>Text!$AT$46</f>
        <v>K312</v>
      </c>
      <c r="J24" s="1393" t="str">
        <f>Text!$AN$46</f>
        <v>THGE im Klimawandel</v>
      </c>
      <c r="K24" s="1340" t="s">
        <v>1444</v>
      </c>
      <c r="L24" s="1394"/>
      <c r="M24" s="1349"/>
      <c r="N24" s="1349"/>
      <c r="O24" s="1375"/>
      <c r="P24" s="1349"/>
      <c r="Q24" s="1349"/>
      <c r="R24" s="1375"/>
      <c r="S24" s="1395"/>
      <c r="T24" s="1349"/>
      <c r="U24" s="1375"/>
      <c r="V24" s="1391"/>
      <c r="W24" s="1392"/>
      <c r="X24" s="1342"/>
      <c r="Y24" s="1346"/>
    </row>
    <row r="25" spans="1:27 16384:16384" s="220" customFormat="1" ht="10.4" customHeight="1" thickTop="1" thickBot="1">
      <c r="A25" s="18"/>
      <c r="B25" s="1703"/>
      <c r="C25" s="1704">
        <f>Text!$AM$49</f>
        <v>32</v>
      </c>
      <c r="D25" s="1705" t="str">
        <f>Text!$AP$49</f>
        <v>Energie</v>
      </c>
      <c r="E25" s="1152"/>
      <c r="F25" s="1337">
        <f>Text!$AQ$49</f>
        <v>321</v>
      </c>
      <c r="G25" s="1390" t="str">
        <f>Text!$AO$49</f>
        <v>Energiebedarf Erstellung</v>
      </c>
      <c r="H25" s="1349"/>
      <c r="I25" s="1337">
        <f>Text!$AQ$50</f>
        <v>322</v>
      </c>
      <c r="J25" s="1390" t="str">
        <f>Text!$AO$50</f>
        <v>Energiebedarf Betrieb</v>
      </c>
      <c r="K25" s="1349"/>
      <c r="L25" s="1396"/>
      <c r="M25" s="1353"/>
      <c r="N25" s="1349"/>
      <c r="O25" s="1375"/>
      <c r="P25" s="1349"/>
      <c r="Q25" s="1349"/>
      <c r="R25" s="1375"/>
      <c r="S25" s="1349"/>
      <c r="T25" s="1349"/>
      <c r="U25" s="1375"/>
      <c r="V25" s="1391"/>
      <c r="W25" s="1392"/>
      <c r="X25" s="1342"/>
      <c r="Y25" s="1346"/>
      <c r="XFD25" s="18"/>
    </row>
    <row r="26" spans="1:27 16384:16384" s="18" customFormat="1" ht="10.4" customHeight="1" thickTop="1" thickBot="1">
      <c r="B26" s="1703"/>
      <c r="C26" s="1704"/>
      <c r="D26" s="1705"/>
      <c r="E26" s="1152"/>
      <c r="F26" s="1375"/>
      <c r="G26" s="1349"/>
      <c r="H26" s="1349"/>
      <c r="I26" s="1383" t="str">
        <f>Text!$AT$47</f>
        <v>K322</v>
      </c>
      <c r="J26" s="1397" t="str">
        <f>Text!$AN$47</f>
        <v>Betriebsenergie im Klimawandel</v>
      </c>
      <c r="K26" s="1349"/>
      <c r="L26" s="1375"/>
      <c r="M26" s="1349"/>
      <c r="N26" s="1349"/>
      <c r="O26" s="1375"/>
      <c r="P26" s="1349"/>
      <c r="Q26" s="1349"/>
      <c r="R26" s="1375"/>
      <c r="S26" s="1349"/>
      <c r="T26" s="1349"/>
      <c r="U26" s="1375"/>
      <c r="V26" s="1391"/>
      <c r="W26" s="1392"/>
      <c r="X26" s="1342"/>
      <c r="Y26" s="1346"/>
    </row>
    <row r="27" spans="1:27 16384:16384" s="14" customFormat="1" ht="10.4" customHeight="1" thickTop="1" thickBot="1">
      <c r="B27" s="1703"/>
      <c r="C27" s="1704">
        <f>Text!$AM$51</f>
        <v>33</v>
      </c>
      <c r="D27" s="1705" t="str">
        <f>Text!$AP$51</f>
        <v>Ressourcenschonung &amp; Umweltschutz</v>
      </c>
      <c r="E27" s="1152"/>
      <c r="F27" s="1337">
        <f>Text!$AQ$51</f>
        <v>331</v>
      </c>
      <c r="G27" s="1390" t="str">
        <f>Text!$AO$51</f>
        <v>Baustelle</v>
      </c>
      <c r="H27" s="1349"/>
      <c r="I27" s="1337">
        <f>Text!$AQ$52</f>
        <v>332</v>
      </c>
      <c r="J27" s="1390" t="str">
        <f>Text!$AO$52</f>
        <v>Ökologische Baustoffe</v>
      </c>
      <c r="K27" s="1339"/>
      <c r="L27" s="1337">
        <f>Text!$AQ$53</f>
        <v>333</v>
      </c>
      <c r="M27" s="1390" t="str">
        <f>Text!$AO$53</f>
        <v>Systematische Inbetriebnahme</v>
      </c>
      <c r="N27" s="1339"/>
      <c r="O27" s="1370">
        <f>Text!$AQ$54</f>
        <v>334</v>
      </c>
      <c r="P27" s="1390" t="str">
        <f>Text!$AO$54</f>
        <v>Energiemonitoring</v>
      </c>
      <c r="Q27" s="1349"/>
      <c r="R27" s="1370">
        <f>Text!$AQ$55</f>
        <v>335</v>
      </c>
      <c r="S27" s="1390" t="str">
        <f>Text!$AO$55</f>
        <v>Mobilitätsmassnahmen</v>
      </c>
      <c r="T27" s="1339"/>
      <c r="U27" s="1370">
        <f>Text!$AQ$56</f>
        <v>336</v>
      </c>
      <c r="V27" s="1390" t="str">
        <f>Text!$AO$56</f>
        <v>Elektro-Mobilität</v>
      </c>
      <c r="W27" s="1392"/>
      <c r="X27" s="1342"/>
      <c r="Y27" s="1346"/>
    </row>
    <row r="28" spans="1:27 16384:16384" s="14" customFormat="1" ht="10.4" customHeight="1" thickTop="1" thickBot="1">
      <c r="B28" s="1703"/>
      <c r="C28" s="1704"/>
      <c r="D28" s="1705"/>
      <c r="E28" s="1152"/>
      <c r="F28" s="1375"/>
      <c r="G28" s="1349"/>
      <c r="H28" s="1349"/>
      <c r="I28" s="1375"/>
      <c r="J28" s="1349"/>
      <c r="K28" s="1349"/>
      <c r="L28" s="1375"/>
      <c r="M28" s="1349"/>
      <c r="N28" s="1349"/>
      <c r="O28" s="1383" t="str">
        <f>Text!$AT$48</f>
        <v>K334</v>
      </c>
      <c r="P28" s="1397" t="str">
        <f>Text!$AN$48</f>
        <v>Behaglichkeitsmonitoring</v>
      </c>
      <c r="Q28" s="1349"/>
      <c r="R28" s="1349"/>
      <c r="S28" s="1349"/>
      <c r="T28" s="1349"/>
      <c r="U28" s="1349"/>
      <c r="V28" s="1391"/>
      <c r="W28" s="1392"/>
      <c r="X28" s="1342"/>
      <c r="Y28" s="1346"/>
    </row>
    <row r="29" spans="1:27 16384:16384" s="14" customFormat="1" ht="10.4" customHeight="1" thickTop="1" thickBot="1">
      <c r="B29" s="1703"/>
      <c r="C29" s="1704">
        <f>Text!$AM$57</f>
        <v>34</v>
      </c>
      <c r="D29" s="1705" t="str">
        <f>Text!$AP$57</f>
        <v>Natur &amp; Landschaft</v>
      </c>
      <c r="E29" s="1147"/>
      <c r="F29" s="1337">
        <f>Text!$AQ$57</f>
        <v>341</v>
      </c>
      <c r="G29" s="1390" t="str">
        <f>Text!$AO$57</f>
        <v>Biodiversität</v>
      </c>
      <c r="H29" s="1349"/>
      <c r="I29" s="1337">
        <f>Text!$AQ$58</f>
        <v>342</v>
      </c>
      <c r="J29" s="1390" t="str">
        <f>Text!$AO$58</f>
        <v>Wasser</v>
      </c>
      <c r="K29" s="1349"/>
      <c r="L29" s="1337">
        <f>Text!$AQ$59</f>
        <v>343</v>
      </c>
      <c r="M29" s="1390" t="str">
        <f>Text!$AO$59</f>
        <v>Haushälterische Bodennutz.</v>
      </c>
      <c r="N29" s="1349"/>
      <c r="O29" s="1349"/>
      <c r="P29" s="1349"/>
      <c r="Q29" s="1349"/>
      <c r="R29" s="1349"/>
      <c r="S29" s="1349"/>
      <c r="T29" s="1349"/>
      <c r="U29" s="1349"/>
      <c r="V29" s="1391"/>
      <c r="W29" s="1392"/>
      <c r="X29" s="1342"/>
      <c r="Y29" s="1346"/>
    </row>
    <row r="30" spans="1:27 16384:16384" ht="10.4" customHeight="1" thickTop="1" thickBot="1">
      <c r="A30" s="82"/>
      <c r="B30" s="1703"/>
      <c r="C30" s="1704"/>
      <c r="D30" s="1705"/>
      <c r="E30" s="1160"/>
      <c r="F30" s="1398"/>
      <c r="G30" s="1398"/>
      <c r="H30" s="1399"/>
      <c r="I30" s="1383" t="str">
        <f>Text!$AT$49</f>
        <v>K342</v>
      </c>
      <c r="J30" s="1397" t="str">
        <f>Text!$AN$49</f>
        <v>Umgebung im Klimawandel</v>
      </c>
      <c r="K30" s="1399"/>
      <c r="L30" s="1399"/>
      <c r="M30" s="1399"/>
      <c r="N30" s="1399"/>
      <c r="O30" s="1399"/>
      <c r="P30" s="1399"/>
      <c r="Q30" s="1399"/>
      <c r="R30" s="1399"/>
      <c r="S30" s="1399"/>
      <c r="T30" s="1399"/>
      <c r="U30" s="1399"/>
      <c r="V30" s="1399"/>
      <c r="W30" s="1400"/>
      <c r="X30" s="1400"/>
      <c r="Y30" s="1400"/>
    </row>
    <row r="31" spans="1:27 16384:16384" ht="10.4" hidden="1" customHeight="1" thickTop="1">
      <c r="A31" s="82"/>
      <c r="B31" s="1144"/>
      <c r="C31" s="1144"/>
      <c r="D31" s="1144"/>
      <c r="E31" s="1144"/>
      <c r="F31" s="1144"/>
      <c r="G31" s="1144"/>
      <c r="H31" s="1144"/>
      <c r="I31" s="1144"/>
      <c r="J31" s="1144"/>
      <c r="K31" s="1144"/>
      <c r="L31" s="1144"/>
      <c r="M31" s="1144"/>
      <c r="N31" s="1143"/>
      <c r="O31" s="1143"/>
      <c r="P31" s="1144"/>
      <c r="Q31" s="1144"/>
      <c r="R31" s="1144"/>
      <c r="S31" s="1144"/>
      <c r="T31" s="1143"/>
      <c r="U31" s="1158"/>
      <c r="V31" s="1159"/>
      <c r="W31" s="678"/>
      <c r="X31" s="113"/>
      <c r="Y31" s="1226">
        <f>Tool!H18</f>
        <v>0</v>
      </c>
      <c r="Z31" s="58"/>
      <c r="AA31" s="62"/>
    </row>
    <row r="32" spans="1:27 16384:16384" ht="2.15" hidden="1" customHeight="1">
      <c r="A32" s="82"/>
      <c r="B32" s="217"/>
      <c r="C32" s="217"/>
      <c r="D32" s="217"/>
      <c r="E32" s="217"/>
      <c r="F32" s="217"/>
      <c r="G32" s="217"/>
      <c r="H32" s="217"/>
      <c r="I32" s="217"/>
      <c r="J32" s="217"/>
      <c r="K32" s="217"/>
      <c r="L32" s="217"/>
      <c r="M32" s="217"/>
      <c r="N32" s="221"/>
      <c r="O32" s="221"/>
      <c r="P32" s="217"/>
      <c r="Q32" s="217"/>
      <c r="R32" s="217"/>
      <c r="S32" s="217"/>
      <c r="T32" s="221"/>
      <c r="U32" s="113"/>
      <c r="V32" s="677"/>
      <c r="W32" s="678"/>
      <c r="X32" s="113"/>
      <c r="Y32" s="679"/>
      <c r="Z32" s="58"/>
      <c r="AA32" s="62"/>
    </row>
    <row r="33" spans="1:27" ht="10" hidden="1" customHeight="1">
      <c r="A33" s="82"/>
      <c r="B33" s="1"/>
      <c r="C33" s="1"/>
      <c r="P33" s="1"/>
      <c r="Q33" s="1"/>
      <c r="R33" s="1"/>
      <c r="S33" s="1"/>
      <c r="V33" s="1"/>
      <c r="W33" s="678"/>
      <c r="X33" s="221"/>
      <c r="Y33" s="681"/>
      <c r="Z33" s="14"/>
      <c r="AA33" s="66"/>
    </row>
    <row r="34" spans="1:27" ht="2.15" hidden="1" customHeight="1">
      <c r="A34" s="82"/>
      <c r="B34" s="1"/>
      <c r="C34" s="1"/>
      <c r="P34" s="1"/>
      <c r="Q34" s="1"/>
      <c r="R34" s="1"/>
      <c r="S34" s="1"/>
      <c r="V34" s="1"/>
      <c r="W34" s="678"/>
      <c r="X34" s="2"/>
      <c r="Y34" s="683"/>
      <c r="Z34" s="18"/>
      <c r="AA34" s="67"/>
    </row>
    <row r="35" spans="1:27" ht="2.15" hidden="1" customHeight="1">
      <c r="A35" s="82"/>
      <c r="B35" s="2"/>
      <c r="C35" s="2"/>
      <c r="D35" s="651"/>
      <c r="E35" s="2"/>
      <c r="F35" s="2"/>
      <c r="G35" s="2"/>
      <c r="H35" s="651"/>
      <c r="I35" s="2"/>
      <c r="J35" s="2"/>
      <c r="K35" s="2"/>
      <c r="L35" s="651"/>
      <c r="M35" s="2"/>
      <c r="N35" s="2"/>
      <c r="O35" s="651"/>
      <c r="P35" s="2"/>
      <c r="Q35" s="2"/>
      <c r="R35" s="651"/>
      <c r="S35" s="2"/>
      <c r="T35" s="2"/>
      <c r="U35" s="2"/>
      <c r="V35" s="682"/>
      <c r="W35" s="678"/>
      <c r="X35" s="2"/>
      <c r="Y35" s="683"/>
      <c r="Z35" s="18"/>
      <c r="AA35" s="67"/>
    </row>
    <row r="36" spans="1:27" ht="10.4" hidden="1" customHeight="1">
      <c r="A36" s="82"/>
      <c r="B36" s="1"/>
      <c r="C36" s="1"/>
      <c r="N36" s="2"/>
      <c r="P36" s="1"/>
      <c r="Q36" s="1"/>
      <c r="R36" s="1"/>
      <c r="S36" s="1"/>
      <c r="V36" s="1"/>
      <c r="Y36" s="1"/>
      <c r="Z36" s="18"/>
      <c r="AA36" s="67"/>
    </row>
    <row r="37" spans="1:27" ht="2.15" hidden="1" customHeight="1">
      <c r="A37" s="82"/>
      <c r="B37" s="1"/>
      <c r="C37" s="1"/>
      <c r="N37" s="2"/>
      <c r="P37" s="1"/>
      <c r="Q37" s="1"/>
      <c r="R37" s="1"/>
      <c r="S37" s="1"/>
      <c r="V37" s="1"/>
      <c r="Y37" s="1"/>
      <c r="Z37" s="18"/>
      <c r="AA37" s="67"/>
    </row>
    <row r="38" spans="1:27" ht="10.4" hidden="1" customHeight="1">
      <c r="A38" s="82"/>
      <c r="B38" s="1"/>
      <c r="C38" s="1"/>
      <c r="P38" s="1"/>
      <c r="Q38" s="1"/>
      <c r="R38" s="1"/>
      <c r="S38" s="1"/>
      <c r="V38" s="1"/>
      <c r="Y38" s="1"/>
      <c r="Z38" s="58"/>
      <c r="AA38" s="62"/>
    </row>
    <row r="39" spans="1:27" ht="2.15" customHeight="1" thickTop="1">
      <c r="A39" s="82"/>
      <c r="B39" s="1"/>
      <c r="C39" s="1"/>
      <c r="E39" s="221"/>
      <c r="I39" s="221"/>
      <c r="M39" s="221"/>
      <c r="P39" s="1"/>
      <c r="Q39" s="1"/>
      <c r="R39" s="1"/>
      <c r="S39" s="221"/>
      <c r="T39" s="217"/>
      <c r="U39" s="684"/>
      <c r="V39" s="677"/>
      <c r="W39" s="678"/>
      <c r="X39" s="113"/>
      <c r="Y39" s="679"/>
      <c r="Z39" s="58"/>
      <c r="AA39" s="62"/>
    </row>
    <row r="40" spans="1:27" ht="10.4" hidden="1" customHeight="1">
      <c r="A40" s="82"/>
      <c r="B40" s="1"/>
      <c r="C40" s="1"/>
      <c r="E40" s="2"/>
      <c r="I40" s="2"/>
      <c r="M40" s="2"/>
      <c r="P40" s="1"/>
      <c r="Q40" s="1"/>
      <c r="R40" s="1"/>
      <c r="S40" s="2"/>
      <c r="T40" s="2"/>
      <c r="U40" s="651"/>
      <c r="V40" s="682"/>
      <c r="W40" s="678"/>
      <c r="X40" s="2"/>
      <c r="Y40" s="683"/>
      <c r="Z40" s="18"/>
      <c r="AA40" s="67"/>
    </row>
    <row r="41" spans="1:27" ht="2.15" hidden="1" customHeight="1">
      <c r="A41" s="82"/>
      <c r="B41" s="1"/>
      <c r="C41" s="1"/>
      <c r="E41" s="217"/>
      <c r="I41" s="217"/>
      <c r="M41" s="217"/>
      <c r="P41" s="1"/>
      <c r="Q41" s="1"/>
      <c r="R41" s="1"/>
      <c r="S41" s="217"/>
      <c r="T41" s="2"/>
      <c r="U41" s="651"/>
      <c r="V41" s="682"/>
      <c r="W41" s="678"/>
      <c r="X41" s="2"/>
      <c r="Y41" s="683"/>
      <c r="Z41" s="18"/>
      <c r="AA41" s="67"/>
    </row>
    <row r="42" spans="1:27" ht="10.4" hidden="1" customHeight="1">
      <c r="A42" s="82"/>
      <c r="B42" s="1"/>
      <c r="C42" s="1"/>
      <c r="E42" s="2"/>
      <c r="I42" s="2"/>
      <c r="M42" s="2"/>
      <c r="P42" s="1"/>
      <c r="Q42" s="1"/>
      <c r="R42" s="1"/>
      <c r="S42" s="2"/>
      <c r="T42" s="2"/>
      <c r="U42" s="651"/>
      <c r="V42" s="682"/>
      <c r="W42" s="678"/>
      <c r="X42" s="2"/>
      <c r="Y42" s="683"/>
      <c r="Z42" s="18"/>
      <c r="AA42" s="67"/>
    </row>
    <row r="43" spans="1:27" ht="2.15" hidden="1" customHeight="1">
      <c r="A43" s="82"/>
      <c r="B43" s="2"/>
      <c r="C43" s="2"/>
      <c r="D43" s="651"/>
      <c r="E43" s="2"/>
      <c r="F43" s="2"/>
      <c r="G43" s="2"/>
      <c r="H43" s="651"/>
      <c r="I43" s="2"/>
      <c r="J43" s="2"/>
      <c r="K43" s="2"/>
      <c r="L43" s="651"/>
      <c r="M43" s="2"/>
      <c r="N43" s="2"/>
      <c r="O43" s="651"/>
      <c r="P43" s="2"/>
      <c r="Q43" s="2"/>
      <c r="R43" s="651"/>
      <c r="S43" s="2"/>
      <c r="T43" s="2"/>
      <c r="U43" s="651"/>
      <c r="V43" s="682"/>
      <c r="W43" s="678"/>
      <c r="X43" s="2"/>
      <c r="Y43" s="683"/>
      <c r="Z43" s="18"/>
      <c r="AA43" s="67"/>
    </row>
    <row r="44" spans="1:27" ht="10.4" hidden="1" customHeight="1">
      <c r="A44" s="82"/>
      <c r="B44" s="2"/>
      <c r="C44" s="2"/>
      <c r="D44" s="651"/>
      <c r="E44" s="2"/>
      <c r="F44" s="2"/>
      <c r="G44" s="2"/>
      <c r="H44" s="651"/>
      <c r="I44" s="2"/>
      <c r="J44" s="2"/>
      <c r="K44" s="2"/>
      <c r="L44" s="651"/>
      <c r="M44" s="2"/>
      <c r="N44" s="2"/>
      <c r="O44" s="651"/>
      <c r="P44" s="2"/>
      <c r="Q44" s="2"/>
      <c r="R44" s="651"/>
      <c r="S44" s="2"/>
      <c r="T44" s="2"/>
      <c r="U44" s="651"/>
      <c r="V44" s="682"/>
      <c r="W44" s="678"/>
      <c r="X44" s="2"/>
      <c r="Y44" s="683"/>
      <c r="Z44" s="18"/>
      <c r="AA44" s="67"/>
    </row>
    <row r="45" spans="1:27" ht="2.15" hidden="1" customHeight="1">
      <c r="A45" s="82"/>
      <c r="B45" s="2"/>
      <c r="C45" s="2"/>
      <c r="D45" s="651"/>
      <c r="E45" s="5"/>
      <c r="F45" s="2"/>
      <c r="G45" s="2"/>
      <c r="H45" s="651"/>
      <c r="I45" s="5"/>
      <c r="J45" s="2"/>
      <c r="K45" s="2"/>
      <c r="L45" s="651"/>
      <c r="M45" s="5"/>
      <c r="N45" s="2"/>
      <c r="O45" s="651"/>
      <c r="P45" s="2"/>
      <c r="Q45" s="2"/>
      <c r="R45" s="651"/>
      <c r="S45" s="5"/>
      <c r="T45" s="2"/>
      <c r="U45" s="651"/>
      <c r="V45" s="682"/>
      <c r="W45" s="678"/>
      <c r="X45" s="2"/>
      <c r="Y45" s="683"/>
      <c r="Z45" s="18"/>
      <c r="AA45" s="67"/>
    </row>
    <row r="46" spans="1:27" ht="10.4" hidden="1" customHeight="1">
      <c r="A46" s="82"/>
      <c r="B46" s="2"/>
      <c r="C46" s="2"/>
      <c r="D46" s="651"/>
      <c r="E46" s="5"/>
      <c r="F46" s="2"/>
      <c r="G46" s="2"/>
      <c r="H46" s="651"/>
      <c r="I46" s="5"/>
      <c r="J46" s="2"/>
      <c r="K46" s="2"/>
      <c r="L46" s="651"/>
      <c r="M46" s="5"/>
      <c r="N46" s="2"/>
      <c r="O46" s="651"/>
      <c r="P46" s="2"/>
      <c r="Q46" s="2"/>
      <c r="R46" s="651"/>
      <c r="S46" s="5"/>
      <c r="T46" s="2"/>
      <c r="U46" s="651"/>
      <c r="V46" s="682"/>
      <c r="W46" s="678"/>
      <c r="X46" s="2"/>
      <c r="Y46" s="683"/>
      <c r="Z46" s="18"/>
      <c r="AA46" s="67"/>
    </row>
    <row r="47" spans="1:27" ht="2.15" hidden="1" customHeight="1">
      <c r="A47" s="82"/>
      <c r="B47" s="2"/>
      <c r="C47" s="2"/>
      <c r="D47" s="651"/>
      <c r="E47" s="5"/>
      <c r="F47" s="2"/>
      <c r="G47" s="2"/>
      <c r="H47" s="651"/>
      <c r="I47" s="5"/>
      <c r="J47" s="2"/>
      <c r="K47" s="2"/>
      <c r="L47" s="651"/>
      <c r="M47" s="5"/>
      <c r="N47" s="2"/>
      <c r="O47" s="651"/>
      <c r="P47" s="2"/>
      <c r="Q47" s="2"/>
      <c r="R47" s="651"/>
      <c r="S47" s="5"/>
      <c r="T47" s="2"/>
      <c r="U47" s="651"/>
      <c r="V47" s="682"/>
      <c r="W47" s="678"/>
      <c r="X47" s="2"/>
      <c r="Y47" s="683"/>
      <c r="Z47" s="18"/>
      <c r="AA47" s="67"/>
    </row>
    <row r="48" spans="1:27" ht="10.4" hidden="1" customHeight="1">
      <c r="A48" s="82"/>
      <c r="B48" s="2"/>
      <c r="C48" s="2"/>
      <c r="D48" s="651"/>
      <c r="E48" s="2"/>
      <c r="F48" s="2"/>
      <c r="G48" s="2"/>
      <c r="H48" s="651"/>
      <c r="I48" s="2"/>
      <c r="J48" s="2"/>
      <c r="K48" s="2"/>
      <c r="L48" s="651"/>
      <c r="M48" s="2"/>
      <c r="N48" s="2"/>
      <c r="O48" s="651"/>
      <c r="P48" s="2"/>
      <c r="Q48" s="2"/>
      <c r="R48" s="651"/>
      <c r="S48" s="2"/>
      <c r="T48" s="2"/>
      <c r="U48" s="651"/>
      <c r="V48" s="682"/>
      <c r="W48" s="678"/>
      <c r="X48" s="2"/>
      <c r="Y48" s="683"/>
      <c r="Z48" s="18"/>
      <c r="AA48" s="67"/>
    </row>
    <row r="49" spans="1:27 16384:16384" ht="2.15" hidden="1" customHeight="1">
      <c r="A49" s="82"/>
      <c r="B49" s="2"/>
      <c r="C49" s="2"/>
      <c r="D49" s="651"/>
      <c r="E49" s="2"/>
      <c r="F49" s="2"/>
      <c r="G49" s="2"/>
      <c r="H49" s="651"/>
      <c r="I49" s="2"/>
      <c r="J49" s="2"/>
      <c r="K49" s="2"/>
      <c r="L49" s="651"/>
      <c r="M49" s="2"/>
      <c r="N49" s="2"/>
      <c r="O49" s="651"/>
      <c r="P49" s="2"/>
      <c r="Q49" s="2"/>
      <c r="R49" s="651"/>
      <c r="S49" s="2"/>
      <c r="T49" s="2"/>
      <c r="U49" s="651"/>
      <c r="V49" s="682"/>
      <c r="W49" s="678"/>
      <c r="X49" s="2"/>
      <c r="Y49" s="683"/>
      <c r="Z49" s="18"/>
      <c r="AA49" s="67"/>
    </row>
    <row r="50" spans="1:27 16384:16384" ht="10.4" hidden="1" customHeight="1">
      <c r="A50" s="82"/>
      <c r="B50" s="1"/>
      <c r="C50" s="1"/>
      <c r="N50" s="217"/>
      <c r="P50" s="1"/>
      <c r="Q50" s="1"/>
      <c r="R50" s="1"/>
      <c r="S50" s="1"/>
      <c r="V50" s="1"/>
      <c r="Y50" s="1"/>
      <c r="Z50" s="18"/>
      <c r="AA50" s="67"/>
    </row>
    <row r="51" spans="1:27 16384:16384" ht="2.15" customHeight="1">
      <c r="A51" s="82"/>
      <c r="B51" s="217"/>
      <c r="C51" s="217"/>
      <c r="D51" s="217"/>
      <c r="E51" s="217"/>
      <c r="F51" s="217"/>
      <c r="G51" s="217"/>
      <c r="H51" s="217"/>
      <c r="I51" s="217"/>
      <c r="J51" s="217"/>
      <c r="K51" s="217"/>
      <c r="L51" s="217"/>
      <c r="M51" s="217"/>
      <c r="N51" s="2"/>
      <c r="O51" s="2"/>
      <c r="P51" s="2"/>
      <c r="Q51" s="221"/>
      <c r="R51" s="221"/>
      <c r="S51" s="221"/>
      <c r="T51" s="221"/>
      <c r="U51" s="221"/>
      <c r="V51" s="680"/>
      <c r="W51" s="678"/>
      <c r="X51" s="221"/>
      <c r="Y51" s="681"/>
      <c r="Z51" s="18"/>
      <c r="AA51" s="67"/>
    </row>
    <row r="52" spans="1:27 16384:16384" ht="10.4" hidden="1" customHeight="1">
      <c r="A52" s="82"/>
      <c r="B52" s="217"/>
      <c r="C52" s="217"/>
      <c r="D52" s="217"/>
      <c r="E52" s="217"/>
      <c r="F52" s="217"/>
      <c r="G52" s="217"/>
      <c r="H52" s="217"/>
      <c r="I52" s="217"/>
      <c r="J52" s="217"/>
      <c r="K52" s="217"/>
      <c r="L52" s="217"/>
      <c r="M52" s="217"/>
      <c r="O52" s="221"/>
      <c r="P52" s="221"/>
      <c r="Q52" s="221"/>
      <c r="R52" s="221"/>
      <c r="S52" s="221"/>
      <c r="T52" s="221"/>
      <c r="U52" s="221"/>
      <c r="V52" s="680"/>
      <c r="W52" s="678"/>
      <c r="X52" s="221"/>
      <c r="Y52" s="681"/>
      <c r="Z52" s="18"/>
      <c r="AA52" s="67"/>
    </row>
    <row r="53" spans="1:27 16384:16384" ht="2.15" customHeight="1">
      <c r="A53" s="82"/>
      <c r="B53" s="1"/>
      <c r="C53" s="16"/>
      <c r="D53" s="63"/>
      <c r="F53" s="676"/>
      <c r="G53" s="17"/>
      <c r="H53" s="18"/>
      <c r="I53" s="626"/>
      <c r="J53" s="69"/>
      <c r="K53" s="69"/>
      <c r="L53" s="69"/>
      <c r="M53" s="69"/>
      <c r="N53" s="69"/>
      <c r="O53" s="69"/>
      <c r="P53" s="69"/>
      <c r="Q53" s="69"/>
      <c r="R53" s="69"/>
      <c r="S53" s="69"/>
      <c r="T53" s="18"/>
      <c r="U53" s="18"/>
      <c r="V53" s="18"/>
      <c r="Y53" s="50"/>
      <c r="Z53" s="18"/>
      <c r="AA53" s="67"/>
    </row>
    <row r="54" spans="1:27 16384:16384" s="14" customFormat="1" ht="15" customHeight="1">
      <c r="B54" s="177"/>
      <c r="C54" s="16"/>
      <c r="D54" s="274" t="str">
        <f>Text!C320</f>
        <v>Menu ein- oder ausblenden</v>
      </c>
      <c r="F54" s="1805" t="str">
        <f>Text!C321</f>
        <v>Liste ein- oder ausblenden</v>
      </c>
      <c r="G54" s="1805"/>
      <c r="H54" s="1805"/>
      <c r="I54" s="1805"/>
      <c r="J54" s="1805" t="s">
        <v>1982</v>
      </c>
      <c r="K54" s="1805"/>
      <c r="L54" s="1805"/>
      <c r="M54" s="1805"/>
      <c r="N54" s="1"/>
      <c r="O54" s="1"/>
      <c r="P54" s="1"/>
      <c r="Q54" s="1"/>
      <c r="R54" s="1"/>
      <c r="S54" s="1"/>
      <c r="T54" s="1"/>
      <c r="U54" s="1"/>
      <c r="V54" s="1"/>
      <c r="W54" s="1"/>
      <c r="X54" s="1"/>
      <c r="Y54" s="1"/>
      <c r="XFD54" s="1"/>
    </row>
    <row r="55" spans="1:27 16384:16384" s="14" customFormat="1" ht="3" customHeight="1">
      <c r="D55" s="93"/>
      <c r="F55" s="93"/>
      <c r="G55" s="93"/>
      <c r="H55" s="93"/>
      <c r="I55" s="93"/>
      <c r="J55" s="93"/>
      <c r="K55" s="93"/>
      <c r="L55" s="93"/>
      <c r="M55" s="93"/>
    </row>
    <row r="56" spans="1:27 16384:16384" s="93" customFormat="1" ht="15" customHeight="1">
      <c r="B56" s="213"/>
      <c r="C56" s="193"/>
      <c r="D56" s="210"/>
      <c r="F56" s="211"/>
      <c r="G56" s="212"/>
      <c r="H56" s="109"/>
      <c r="I56" s="214"/>
      <c r="J56" s="212"/>
      <c r="K56" s="109"/>
      <c r="L56" s="214"/>
      <c r="M56" s="212"/>
      <c r="N56" s="109"/>
      <c r="O56" s="109"/>
      <c r="P56" s="109"/>
      <c r="Q56" s="109"/>
      <c r="R56" s="109"/>
      <c r="S56" s="109"/>
      <c r="T56" s="109"/>
      <c r="U56" s="109"/>
      <c r="V56" s="215"/>
      <c r="W56" s="109"/>
      <c r="X56" s="109"/>
      <c r="Y56" s="110"/>
    </row>
    <row r="57" spans="1:27 16384:16384" ht="30" customHeight="1">
      <c r="B57" s="222"/>
      <c r="C57" s="1"/>
      <c r="F57" s="1785" t="str">
        <f>IF(Tool!H18="","",IF(AND(Tool!H7="Deutsch",Tool!H18="Pre-Check"),"Pre-Check SNBS 2023.1 Hochbau",IF(AND(Tool!H7="Deutsch",Tool!H18="Pre-Check &amp; Klima-Check"),"Pre-Check &amp; Klima-Check SNBS 2023.1 Hochbau",IF(AND(Tool!H7="Deutsch",Tool!H18="Klima-Check"),"Klima-Check SNBS 2023.1 Hochbau",IF(AND(Tool!H7="Français",Tool!H18="Pre-Check &amp; Check Climat"),"Pre-Check &amp; Check Climat SNBS 2023.1 Bâtiment",IF(AND(Tool!H7="Français",Tool!H18="Check Climat"),"Check Climat SNBS 2023.1 Bâtiment",IF(AND(Tool!H7="Français",Tool!H18="Pre-Check"),"Pre-Check SNBS 2023.1 Bâtiment",IF(AND(Tool!H7="Italiano",Tool!H18="Pre-Check &amp; Check Clima"),"Pre-Check &amp; Check Clima SNBS 2023.1 Edificio",IF(AND(Tool!H7="Italiano",Tool!H18="Check Clima"),"Check Clima SNBS 2023.1 Edificio",IF(AND(Tool!H7="Italiano",Tool!H18="Pre-Check"),"Pre-Check SNBS 2023.1 Edificio","Pre-Check SNBS 2023.1 Hochbau"))))))))))</f>
        <v/>
      </c>
      <c r="G57" s="1785"/>
      <c r="H57" s="1785"/>
      <c r="I57" s="1785"/>
      <c r="J57" s="1785"/>
      <c r="K57" s="1785"/>
      <c r="L57" s="1785"/>
      <c r="M57" s="1785"/>
      <c r="N57" s="1785"/>
      <c r="O57" s="1785"/>
      <c r="P57" s="1785"/>
      <c r="Q57" s="1785"/>
      <c r="R57" s="1785"/>
      <c r="S57" s="1785"/>
      <c r="T57" s="1785"/>
      <c r="U57" s="1785"/>
      <c r="V57" s="1"/>
      <c r="W57" s="50"/>
      <c r="Y57" s="1"/>
    </row>
    <row r="58" spans="1:27 16384:16384" ht="30" customHeight="1">
      <c r="B58" s="222"/>
      <c r="C58" s="1"/>
      <c r="F58" s="1786" t="str">
        <f>IF(Tool!H18="","",Text!C5)</f>
        <v/>
      </c>
      <c r="G58" s="1786"/>
      <c r="H58" s="1786"/>
      <c r="I58" s="1786"/>
      <c r="J58" s="1786"/>
      <c r="K58" s="1786"/>
      <c r="L58" s="1786"/>
      <c r="M58" s="1786"/>
      <c r="N58" s="1786"/>
      <c r="O58" s="1786"/>
      <c r="P58" s="1786"/>
      <c r="Q58" s="1786"/>
      <c r="R58" s="1786"/>
      <c r="S58" s="1786"/>
      <c r="T58" s="1786"/>
      <c r="U58" s="1786"/>
      <c r="V58" s="1"/>
      <c r="W58" s="50"/>
      <c r="Y58" s="1"/>
    </row>
    <row r="59" spans="1:27 16384:16384" s="14" customFormat="1" ht="60" customHeight="1">
      <c r="B59" s="15"/>
      <c r="C59" s="16"/>
      <c r="D59" s="17"/>
      <c r="F59" s="1817" t="str">
        <f>Text!C298</f>
        <v>Versuchen Sie bei der Bearbeitung des Fragenkatalogs möglichst spontane Antworten zu geben. Wo Sie sich nicht sicher sind, wählen Sie einfach die Option «weiss nicht». Solche Antworten werden entsprechend bewertet oder führen zu zusätzlichen spezifischeren Fragen zum Thema.</v>
      </c>
      <c r="G59" s="1817"/>
      <c r="H59" s="1817"/>
      <c r="I59" s="1817"/>
      <c r="J59" s="1817"/>
      <c r="K59" s="1817"/>
      <c r="L59" s="1817"/>
      <c r="M59" s="1817"/>
      <c r="N59" s="1817"/>
      <c r="O59" s="1817"/>
      <c r="P59" s="1817"/>
      <c r="Q59" s="1817"/>
      <c r="R59" s="1817"/>
      <c r="S59" s="1817"/>
      <c r="T59" s="1817"/>
      <c r="U59" s="1817"/>
      <c r="V59" s="19"/>
      <c r="Y59" s="20"/>
    </row>
    <row r="60" spans="1:27 16384:16384" s="14" customFormat="1" ht="25.4" customHeight="1">
      <c r="B60" s="3"/>
      <c r="C60" s="4"/>
      <c r="D60" s="93"/>
      <c r="F60" s="1818" t="str">
        <f>IF(Tool!H18="","",Text!C6)</f>
        <v/>
      </c>
      <c r="G60" s="1818"/>
      <c r="H60" s="1818"/>
      <c r="I60" s="1818"/>
      <c r="J60" s="1818"/>
      <c r="K60" s="1818"/>
      <c r="L60" s="1818"/>
      <c r="M60" s="1818"/>
      <c r="N60" s="1818"/>
      <c r="O60" s="1818"/>
      <c r="P60" s="1818"/>
      <c r="Q60" s="1818"/>
      <c r="R60" s="1818"/>
      <c r="S60" s="1818"/>
      <c r="T60" s="1818"/>
      <c r="U60" s="1818"/>
      <c r="V60" s="19"/>
      <c r="Y60" s="20"/>
    </row>
    <row r="61" spans="1:27 16384:16384" s="14" customFormat="1" ht="30" customHeight="1">
      <c r="B61" s="3"/>
      <c r="C61" s="4"/>
      <c r="V61" s="19"/>
      <c r="W61" s="104"/>
      <c r="X61" s="104"/>
      <c r="Y61" s="105"/>
    </row>
    <row r="62" spans="1:27 16384:16384" s="25" customFormat="1" ht="15" customHeight="1">
      <c r="B62" s="26"/>
      <c r="C62" s="33"/>
      <c r="S62" s="1553"/>
      <c r="V62" s="27"/>
      <c r="W62" s="101"/>
      <c r="X62" s="101"/>
      <c r="Y62" s="106"/>
    </row>
    <row r="63" spans="1:27 16384:16384" s="25" customFormat="1" ht="18.5">
      <c r="B63" s="28"/>
      <c r="C63" s="29"/>
      <c r="D63" s="1821" t="str">
        <f>Text!C29</f>
        <v>Einstiegsfragen</v>
      </c>
      <c r="E63" s="1821"/>
      <c r="F63" s="1821"/>
      <c r="G63" s="1821"/>
      <c r="H63" s="1821"/>
      <c r="I63" s="1821"/>
      <c r="J63" s="1821"/>
      <c r="K63" s="1821"/>
      <c r="L63" s="1821"/>
      <c r="M63" s="1821"/>
      <c r="N63" s="1821"/>
      <c r="O63" s="1821"/>
      <c r="P63" s="1821"/>
      <c r="S63" s="1553"/>
      <c r="V63" s="1823" t="str">
        <f>Text!C7</f>
        <v>Ergänzende Hinweise</v>
      </c>
      <c r="W63" s="1823"/>
      <c r="X63" s="1823"/>
      <c r="Y63" s="1823"/>
    </row>
    <row r="64" spans="1:27 16384:16384" s="25" customFormat="1" ht="15" customHeight="1">
      <c r="B64" s="26"/>
      <c r="C64" s="33"/>
      <c r="S64" s="1553"/>
      <c r="V64" s="27"/>
      <c r="W64" s="101"/>
      <c r="X64" s="101"/>
      <c r="Y64" s="106"/>
    </row>
    <row r="65" spans="1:25 16384:16384" s="25" customFormat="1" ht="30" customHeight="1">
      <c r="B65" s="26"/>
      <c r="C65" s="33"/>
      <c r="D65" s="1822" t="str">
        <f>Text!C8</f>
        <v>Als Einstieg in den Pre-Check werden Fragen zur Einordnung des Bauvorhabens gestellt. Die Anforderungen an das Projekt können sich in Abhängigkeit der jeweiligen Antwort unterscheiden. Deshalb ist eine Differenzierung mit solchen Fragen notwendig.</v>
      </c>
      <c r="E65" s="1822"/>
      <c r="F65" s="1822"/>
      <c r="G65" s="1822"/>
      <c r="H65" s="1822"/>
      <c r="I65" s="1822"/>
      <c r="J65" s="1822"/>
      <c r="K65" s="1822"/>
      <c r="L65" s="1822"/>
      <c r="M65" s="1822"/>
      <c r="N65" s="1822"/>
      <c r="O65" s="1822"/>
      <c r="P65" s="1822"/>
      <c r="Q65" s="99"/>
      <c r="R65" s="99"/>
      <c r="S65" s="1554"/>
      <c r="T65" s="100"/>
      <c r="U65" s="100"/>
      <c r="V65" s="1824" t="str">
        <f>Text!C9</f>
        <v>Links: Kriterien mit Zusammenhang zur Frage
Rechts: [nummerierter] Verweis auf ''Info''</v>
      </c>
      <c r="W65" s="1824"/>
      <c r="X65" s="1824"/>
      <c r="Y65" s="1824"/>
    </row>
    <row r="66" spans="1:25 16384:16384" s="25" customFormat="1" ht="15" customHeight="1">
      <c r="B66" s="26"/>
      <c r="C66" s="33"/>
      <c r="D66" s="101"/>
      <c r="E66" s="102"/>
      <c r="F66" s="102"/>
      <c r="G66" s="103"/>
      <c r="H66" s="103"/>
      <c r="I66" s="103"/>
      <c r="J66" s="103"/>
      <c r="K66" s="103"/>
      <c r="L66" s="103"/>
      <c r="M66" s="103"/>
      <c r="N66" s="101"/>
      <c r="O66" s="101"/>
      <c r="P66" s="101"/>
      <c r="Q66" s="101"/>
      <c r="R66" s="101"/>
      <c r="S66" s="1555"/>
      <c r="T66" s="101"/>
      <c r="U66" s="101"/>
      <c r="V66" s="1824"/>
      <c r="W66" s="1824"/>
      <c r="X66" s="1824"/>
      <c r="Y66" s="1824"/>
    </row>
    <row r="67" spans="1:25 16384:16384" customFormat="1" ht="15" customHeight="1">
      <c r="A67" s="1"/>
      <c r="B67" s="3"/>
      <c r="C67" s="4"/>
      <c r="D67" s="1"/>
      <c r="E67" s="1"/>
      <c r="F67" s="1"/>
      <c r="G67" s="1"/>
      <c r="H67" s="1"/>
      <c r="I67" s="1"/>
      <c r="J67" s="1"/>
      <c r="K67" s="1"/>
      <c r="L67" s="1"/>
      <c r="M67" s="1"/>
      <c r="N67" s="1"/>
      <c r="O67" s="1"/>
      <c r="P67" s="1"/>
      <c r="Q67" s="1"/>
      <c r="R67" s="48"/>
      <c r="S67" s="48"/>
      <c r="T67" s="48"/>
      <c r="U67" s="48"/>
      <c r="V67" s="6"/>
      <c r="W67" s="46"/>
      <c r="X67" s="46"/>
      <c r="Y67" s="223"/>
      <c r="XFD67" s="1"/>
    </row>
    <row r="68" spans="1:25 16384:16384" s="25" customFormat="1" ht="15" customHeight="1">
      <c r="A68" s="126"/>
      <c r="B68" s="787" t="s">
        <v>5</v>
      </c>
      <c r="C68" s="26"/>
      <c r="D68" s="1820" t="str">
        <f>Text!C30</f>
        <v>Welche Art des Bauvorhabens wird bewertet?</v>
      </c>
      <c r="E68" s="1820"/>
      <c r="F68" s="1820"/>
      <c r="G68" s="1820"/>
      <c r="H68" s="1820"/>
      <c r="I68" s="1820"/>
      <c r="J68" s="1820"/>
      <c r="K68" s="1820"/>
      <c r="L68" s="1820"/>
      <c r="M68" s="1820"/>
      <c r="N68" s="1820"/>
      <c r="O68" s="1820"/>
      <c r="P68" s="1820"/>
      <c r="Q68" s="1"/>
      <c r="R68" s="48"/>
      <c r="S68" s="48"/>
      <c r="T68" s="48"/>
      <c r="U68" s="48"/>
      <c r="V68" s="32"/>
      <c r="W68" s="224"/>
      <c r="X68" s="224"/>
      <c r="Y68" s="225" t="str">
        <f>Text!C10</f>
        <v/>
      </c>
    </row>
    <row r="69" spans="1:25 16384:16384" s="138" customFormat="1">
      <c r="A69" s="135"/>
      <c r="B69" s="788"/>
      <c r="C69" s="136"/>
      <c r="D69" s="1820"/>
      <c r="E69" s="1820"/>
      <c r="F69" s="1820"/>
      <c r="G69" s="1820"/>
      <c r="H69" s="1820"/>
      <c r="I69" s="1820"/>
      <c r="J69" s="1820"/>
      <c r="K69" s="1820"/>
      <c r="L69" s="1820"/>
      <c r="M69" s="1820"/>
      <c r="N69" s="1820"/>
      <c r="O69" s="1820"/>
      <c r="P69" s="1820"/>
      <c r="Q69" s="1"/>
      <c r="R69" s="48"/>
      <c r="S69" s="47"/>
      <c r="T69" s="48"/>
      <c r="U69" s="48"/>
      <c r="V69" s="137"/>
      <c r="W69" s="226"/>
      <c r="X69" s="226"/>
      <c r="Y69" s="227"/>
    </row>
    <row r="70" spans="1:25 16384:16384">
      <c r="A70" s="123"/>
      <c r="B70" s="789"/>
      <c r="C70" s="3"/>
      <c r="D70" s="454"/>
      <c r="E70" s="124"/>
      <c r="F70" s="124"/>
      <c r="G70" s="124"/>
      <c r="H70" s="124"/>
      <c r="I70" s="124"/>
      <c r="J70" s="124"/>
      <c r="K70" s="124"/>
      <c r="L70" s="124"/>
      <c r="M70" s="124"/>
      <c r="N70" s="124"/>
      <c r="O70" s="124"/>
      <c r="P70" s="124"/>
      <c r="Q70" s="1"/>
      <c r="R70" s="48"/>
      <c r="S70" s="92"/>
      <c r="T70" s="48"/>
      <c r="U70" s="48"/>
      <c r="V70" s="21"/>
      <c r="W70" s="228"/>
      <c r="X70" s="228"/>
      <c r="Y70" s="165"/>
    </row>
    <row r="71" spans="1:25 16384:16384" s="851" customFormat="1" ht="14.5" customHeight="1">
      <c r="A71" s="126"/>
      <c r="B71" s="787" t="s">
        <v>6</v>
      </c>
      <c r="C71" s="26"/>
      <c r="D71" s="1813" t="str">
        <f>Text!C32</f>
        <v>Hauptkategorie des Gebäudes nach dem Bauvorhaben? (gegebenenfalls Antwort mit der grössten Nutzungsfläche auswählen)</v>
      </c>
      <c r="E71" s="1813"/>
      <c r="F71" s="1813"/>
      <c r="G71" s="1813"/>
      <c r="H71" s="1813"/>
      <c r="I71" s="1813"/>
      <c r="J71" s="1813"/>
      <c r="K71" s="1813"/>
      <c r="L71" s="1813"/>
      <c r="M71" s="1813"/>
      <c r="N71" s="1813"/>
      <c r="O71" s="1813"/>
      <c r="P71" s="1813"/>
      <c r="Q71" s="1"/>
      <c r="R71" s="48"/>
      <c r="S71" s="48"/>
      <c r="T71" s="48"/>
      <c r="U71" s="48"/>
    </row>
    <row r="72" spans="1:25 16384:16384" s="851" customFormat="1" ht="14.5" customHeight="1">
      <c r="A72" s="135"/>
      <c r="B72" s="788"/>
      <c r="C72" s="136"/>
      <c r="D72" s="1813"/>
      <c r="E72" s="1813"/>
      <c r="F72" s="1813"/>
      <c r="G72" s="1813"/>
      <c r="H72" s="1813"/>
      <c r="I72" s="1813"/>
      <c r="J72" s="1813"/>
      <c r="K72" s="1813"/>
      <c r="L72" s="1813"/>
      <c r="M72" s="1813"/>
      <c r="N72" s="1813"/>
      <c r="O72" s="1813"/>
      <c r="P72" s="1813"/>
      <c r="Q72" s="1"/>
      <c r="R72" s="48"/>
      <c r="S72" s="9"/>
      <c r="T72" s="9"/>
      <c r="U72" s="48"/>
    </row>
    <row r="73" spans="1:25 16384:16384">
      <c r="A73" s="123"/>
      <c r="B73" s="789"/>
      <c r="C73" s="3"/>
      <c r="D73" s="124"/>
      <c r="E73" s="124"/>
      <c r="F73" s="124"/>
      <c r="G73" s="124"/>
      <c r="H73" s="124"/>
      <c r="I73" s="124"/>
      <c r="J73" s="124"/>
      <c r="K73" s="124"/>
      <c r="L73" s="455"/>
      <c r="M73" s="455"/>
      <c r="N73" s="455"/>
      <c r="O73" s="455"/>
      <c r="P73" s="455"/>
      <c r="Q73" s="134"/>
      <c r="R73" s="799"/>
      <c r="S73" s="48"/>
      <c r="T73" s="48"/>
      <c r="U73" s="48"/>
      <c r="V73" s="21"/>
      <c r="W73" s="228"/>
      <c r="X73" s="228"/>
      <c r="Y73" s="165"/>
    </row>
    <row r="74" spans="1:25 16384:16384" s="25" customFormat="1">
      <c r="A74" s="135"/>
      <c r="B74" s="788" t="s">
        <v>16</v>
      </c>
      <c r="C74" s="136"/>
      <c r="D74" s="1820" t="str">
        <f>Text!C33</f>
        <v>Welche Schulstufe wird angestrebt? (gegebenenfalls Antwort mit der grössten Nutzungsfläche auswählen)</v>
      </c>
      <c r="E74" s="1820"/>
      <c r="F74" s="1820"/>
      <c r="G74" s="1820"/>
      <c r="H74" s="1820"/>
      <c r="I74" s="1820"/>
      <c r="J74" s="1820"/>
      <c r="K74" s="1820"/>
      <c r="L74" s="1820"/>
      <c r="M74" s="1820"/>
      <c r="N74" s="1820"/>
      <c r="O74" s="1820"/>
      <c r="P74" s="1820"/>
      <c r="Q74" s="134"/>
      <c r="R74" s="799"/>
      <c r="S74" s="457"/>
      <c r="T74" s="48"/>
      <c r="U74" s="48"/>
      <c r="V74" s="32"/>
      <c r="W74" s="224"/>
      <c r="X74" s="224"/>
      <c r="Y74" s="225"/>
    </row>
    <row r="75" spans="1:25 16384:16384" s="138" customFormat="1">
      <c r="A75" s="135"/>
      <c r="B75" s="788"/>
      <c r="C75" s="136"/>
      <c r="D75" s="1820"/>
      <c r="E75" s="1820"/>
      <c r="F75" s="1820"/>
      <c r="G75" s="1820"/>
      <c r="H75" s="1820"/>
      <c r="I75" s="1820"/>
      <c r="J75" s="1820"/>
      <c r="K75" s="1820"/>
      <c r="L75" s="1820"/>
      <c r="M75" s="1820"/>
      <c r="N75" s="1820"/>
      <c r="O75" s="1820"/>
      <c r="P75" s="1820"/>
      <c r="Q75" s="1"/>
      <c r="R75" s="48"/>
      <c r="S75" s="9"/>
      <c r="T75" s="48"/>
      <c r="U75" s="978">
        <v>0</v>
      </c>
      <c r="V75" s="137"/>
      <c r="W75" s="226"/>
      <c r="X75" s="226"/>
      <c r="Y75" s="227"/>
    </row>
    <row r="76" spans="1:25 16384:16384">
      <c r="A76" s="123"/>
      <c r="B76" s="789"/>
      <c r="C76" s="3"/>
      <c r="D76" s="124"/>
      <c r="E76" s="124"/>
      <c r="F76" s="124"/>
      <c r="G76" s="124"/>
      <c r="H76" s="124"/>
      <c r="I76" s="124"/>
      <c r="J76" s="124"/>
      <c r="K76" s="124"/>
      <c r="L76" s="124"/>
      <c r="M76" s="124"/>
      <c r="N76" s="124"/>
      <c r="O76" s="124"/>
      <c r="P76" s="124"/>
      <c r="Q76" s="1"/>
      <c r="R76" s="48"/>
      <c r="S76" s="48"/>
      <c r="T76" s="48"/>
      <c r="U76" s="48"/>
      <c r="V76" s="21"/>
      <c r="W76" s="228"/>
      <c r="X76" s="228"/>
      <c r="Y76" s="165"/>
    </row>
    <row r="77" spans="1:25 16384:16384" s="25" customFormat="1" ht="14.5" customHeight="1">
      <c r="A77" s="126"/>
      <c r="B77" s="787" t="s">
        <v>7</v>
      </c>
      <c r="C77" s="26"/>
      <c r="D77" s="1813" t="str">
        <f>Text!C34&amp; CHAR(10) &amp;Text!C38</f>
        <v>Wo steht das Gebäude?
Agglomeration &gt; Zentrum (ausserhalb der Agglomeration) &gt; Land</v>
      </c>
      <c r="E77" s="1813"/>
      <c r="F77" s="1813"/>
      <c r="G77" s="1813"/>
      <c r="H77" s="1813"/>
      <c r="I77" s="1813"/>
      <c r="J77" s="1813"/>
      <c r="K77" s="1813"/>
      <c r="L77" s="1813"/>
      <c r="M77" s="1813"/>
      <c r="N77" s="1813"/>
      <c r="O77" s="1813"/>
      <c r="P77" s="1813"/>
      <c r="Q77" s="1"/>
      <c r="R77" s="48"/>
      <c r="S77" s="8"/>
      <c r="T77" s="48"/>
      <c r="U77" s="48"/>
      <c r="V77" s="1819" t="str">
        <f>Text!C24</f>
        <v>Der Raumtyp kann abgefragt werden unter:</v>
      </c>
      <c r="W77" s="1819"/>
      <c r="X77" s="1819"/>
      <c r="Y77" s="229" t="str">
        <f>Text!C16</f>
        <v>Info [7]</v>
      </c>
    </row>
    <row r="78" spans="1:25 16384:16384" s="138" customFormat="1">
      <c r="A78" s="135"/>
      <c r="B78" s="788"/>
      <c r="C78" s="136"/>
      <c r="D78" s="1825" t="str">
        <f>Text!C38</f>
        <v>Agglomeration &gt; Zentrum (ausserhalb der Agglomeration) &gt; Land</v>
      </c>
      <c r="E78" s="1825"/>
      <c r="F78" s="1825"/>
      <c r="G78" s="1825"/>
      <c r="H78" s="1825"/>
      <c r="I78" s="1825"/>
      <c r="J78" s="1825"/>
      <c r="K78" s="1825"/>
      <c r="L78" s="1825"/>
      <c r="M78" s="1825"/>
      <c r="N78" s="1825"/>
      <c r="O78" s="1825"/>
      <c r="P78" s="1825"/>
      <c r="Q78" s="1"/>
      <c r="R78" s="48"/>
      <c r="S78" s="9"/>
      <c r="T78" s="48"/>
      <c r="U78" s="48"/>
      <c r="V78" s="1819"/>
      <c r="W78" s="1819"/>
      <c r="X78" s="1819"/>
      <c r="Y78" s="224"/>
    </row>
    <row r="79" spans="1:25 16384:16384">
      <c r="A79" s="123"/>
      <c r="B79" s="789"/>
      <c r="C79" s="3"/>
      <c r="D79" s="124"/>
      <c r="E79" s="124"/>
      <c r="F79" s="124"/>
      <c r="G79" s="124"/>
      <c r="H79" s="124"/>
      <c r="I79" s="124"/>
      <c r="J79" s="124"/>
      <c r="K79" s="124"/>
      <c r="L79" s="124"/>
      <c r="M79" s="124"/>
      <c r="N79" s="124"/>
      <c r="O79" s="124"/>
      <c r="P79" s="124"/>
      <c r="Q79" s="1"/>
      <c r="R79" s="48"/>
      <c r="S79" s="8"/>
      <c r="T79" s="48"/>
      <c r="U79" s="48"/>
      <c r="V79" s="21"/>
      <c r="W79" s="228"/>
      <c r="X79" s="228"/>
      <c r="Y79" s="165"/>
    </row>
    <row r="80" spans="1:25 16384:16384" s="25" customFormat="1">
      <c r="A80" s="126"/>
      <c r="B80" s="787" t="s">
        <v>8</v>
      </c>
      <c r="C80" s="26"/>
      <c r="D80" s="1813" t="str">
        <f>Text!C35</f>
        <v>Welche ÖV-Güteklasse weist das Gebäude auf?</v>
      </c>
      <c r="E80" s="1813"/>
      <c r="F80" s="1813"/>
      <c r="G80" s="1813"/>
      <c r="H80" s="1813"/>
      <c r="I80" s="1813"/>
      <c r="J80" s="1813"/>
      <c r="K80" s="1813"/>
      <c r="L80" s="1813"/>
      <c r="M80" s="1813"/>
      <c r="N80" s="1813"/>
      <c r="O80" s="1813"/>
      <c r="P80" s="1813"/>
      <c r="Q80" s="1"/>
      <c r="R80" s="48"/>
      <c r="S80" s="8"/>
      <c r="T80" s="48"/>
      <c r="U80" s="48"/>
      <c r="V80" s="32" t="s">
        <v>545</v>
      </c>
      <c r="W80" s="224"/>
      <c r="X80" s="224"/>
      <c r="Y80" s="229" t="str">
        <f>Text!C16</f>
        <v>Info [7]</v>
      </c>
    </row>
    <row r="81" spans="1:16384" s="138" customFormat="1">
      <c r="A81" s="135"/>
      <c r="B81" s="788"/>
      <c r="C81" s="139"/>
      <c r="D81" s="1813"/>
      <c r="E81" s="1813"/>
      <c r="F81" s="1813"/>
      <c r="G81" s="1813"/>
      <c r="H81" s="1813"/>
      <c r="I81" s="1813"/>
      <c r="J81" s="1813"/>
      <c r="K81" s="1813"/>
      <c r="L81" s="1813"/>
      <c r="M81" s="1813"/>
      <c r="N81" s="1813"/>
      <c r="O81" s="1813"/>
      <c r="P81" s="1813"/>
      <c r="Q81" s="1"/>
      <c r="R81" s="48"/>
      <c r="S81" s="9"/>
      <c r="T81" s="48"/>
      <c r="U81" s="48"/>
      <c r="V81" s="137"/>
      <c r="W81" s="226"/>
      <c r="X81" s="226"/>
      <c r="Y81" s="227"/>
    </row>
    <row r="82" spans="1:16384">
      <c r="A82" s="123"/>
      <c r="B82" s="789"/>
      <c r="D82" s="124"/>
      <c r="E82" s="124"/>
      <c r="F82" s="124"/>
      <c r="G82" s="124"/>
      <c r="H82" s="124"/>
      <c r="I82" s="124"/>
      <c r="J82" s="124"/>
      <c r="K82" s="124"/>
      <c r="L82" s="124"/>
      <c r="M82" s="124"/>
      <c r="N82" s="124"/>
      <c r="O82" s="124"/>
      <c r="P82" s="124"/>
      <c r="Q82" s="1"/>
      <c r="R82" s="1"/>
      <c r="S82" s="8"/>
      <c r="V82" s="21"/>
      <c r="W82" s="228"/>
      <c r="X82" s="228"/>
      <c r="Y82" s="165"/>
    </row>
    <row r="83" spans="1:16384" s="138" customFormat="1">
      <c r="A83" s="135"/>
      <c r="B83" s="788" t="s">
        <v>10</v>
      </c>
      <c r="C83" s="139"/>
      <c r="D83" s="1820" t="str">
        <f>Text!C36</f>
        <v>Weist das Projekt eine begrünte Umgebung auf (z. B. in Form von Grünflächen, Bäumen, Fassaden- und Dachbegrünungen)?</v>
      </c>
      <c r="E83" s="1820"/>
      <c r="F83" s="1820"/>
      <c r="G83" s="1820"/>
      <c r="H83" s="1820"/>
      <c r="I83" s="1820"/>
      <c r="J83" s="1820"/>
      <c r="K83" s="1820"/>
      <c r="L83" s="1820"/>
      <c r="M83" s="1820"/>
      <c r="N83" s="1820"/>
      <c r="O83" s="1820"/>
      <c r="P83" s="1820"/>
      <c r="Q83" s="1"/>
      <c r="R83" s="1"/>
      <c r="S83" s="8"/>
      <c r="T83" s="1"/>
      <c r="U83" s="1"/>
      <c r="V83" s="137" t="s">
        <v>547</v>
      </c>
      <c r="W83" s="226"/>
      <c r="X83" s="226"/>
      <c r="Y83" s="229"/>
    </row>
    <row r="84" spans="1:16384" s="138" customFormat="1">
      <c r="B84" s="790"/>
      <c r="D84" s="1820"/>
      <c r="E84" s="1820"/>
      <c r="F84" s="1820"/>
      <c r="G84" s="1820"/>
      <c r="H84" s="1820"/>
      <c r="I84" s="1820"/>
      <c r="J84" s="1820"/>
      <c r="K84" s="1820"/>
      <c r="L84" s="1820"/>
      <c r="M84" s="1820"/>
      <c r="N84" s="1820"/>
      <c r="O84" s="1820"/>
      <c r="P84" s="1820"/>
      <c r="Q84" s="1"/>
      <c r="R84" s="1"/>
      <c r="S84" s="9"/>
      <c r="T84" s="1"/>
      <c r="U84" s="1"/>
    </row>
    <row r="85" spans="1:16384">
      <c r="A85" s="123"/>
      <c r="B85" s="789"/>
      <c r="D85" s="124"/>
      <c r="E85" s="124"/>
      <c r="F85" s="124"/>
      <c r="G85" s="124"/>
      <c r="H85" s="124"/>
      <c r="I85" s="124"/>
      <c r="J85" s="124"/>
      <c r="K85" s="124"/>
      <c r="L85" s="124"/>
      <c r="M85" s="124"/>
      <c r="N85" s="124"/>
      <c r="O85" s="124"/>
      <c r="P85" s="124"/>
      <c r="Q85" s="1"/>
      <c r="R85" s="1"/>
      <c r="S85" s="8"/>
      <c r="V85" s="21"/>
      <c r="W85" s="228"/>
      <c r="X85" s="228"/>
      <c r="Y85" s="165"/>
    </row>
    <row r="86" spans="1:16384" customFormat="1">
      <c r="A86" s="126"/>
      <c r="B86" s="787" t="s">
        <v>11</v>
      </c>
      <c r="C86" s="26"/>
      <c r="D86" s="1820" t="str">
        <f>Text!C37</f>
        <v>Auf welche Weise erfolgt die Lüftung des Gebäudes? (Bei kombinierten Systemen, bitte die Option wählen mit dem grösseren Flächenanteil)</v>
      </c>
      <c r="E86" s="1820"/>
      <c r="F86" s="1820"/>
      <c r="G86" s="1820"/>
      <c r="H86" s="1820"/>
      <c r="I86" s="1820"/>
      <c r="J86" s="1820"/>
      <c r="K86" s="1820"/>
      <c r="L86" s="1820"/>
      <c r="M86" s="1820"/>
      <c r="N86" s="1820"/>
      <c r="O86" s="1820"/>
      <c r="P86" s="1820"/>
      <c r="Q86" s="4"/>
      <c r="R86" s="4"/>
      <c r="S86" s="48"/>
      <c r="T86" s="1"/>
      <c r="U86" s="1"/>
      <c r="V86" s="32"/>
      <c r="W86" s="224"/>
      <c r="X86" s="224"/>
      <c r="Y86" s="225"/>
      <c r="XFD86" s="25"/>
    </row>
    <row r="87" spans="1:16384" customFormat="1" ht="14.5" customHeight="1">
      <c r="A87" s="126"/>
      <c r="B87" s="787"/>
      <c r="C87" s="26"/>
      <c r="D87" s="1820"/>
      <c r="E87" s="1820"/>
      <c r="F87" s="1820"/>
      <c r="G87" s="1820"/>
      <c r="H87" s="1820"/>
      <c r="I87" s="1820"/>
      <c r="J87" s="1820"/>
      <c r="K87" s="1820"/>
      <c r="L87" s="1820"/>
      <c r="M87" s="1820"/>
      <c r="N87" s="1820"/>
      <c r="O87" s="1820"/>
      <c r="P87" s="1820"/>
      <c r="Q87" s="4"/>
      <c r="R87" s="4"/>
      <c r="S87" s="853"/>
      <c r="T87" s="853"/>
      <c r="U87" s="1"/>
      <c r="V87" s="32"/>
      <c r="W87" s="224"/>
      <c r="X87" s="224"/>
      <c r="Y87" s="225"/>
      <c r="XFD87" s="25"/>
    </row>
    <row r="88" spans="1:16384" hidden="1">
      <c r="A88" s="123"/>
      <c r="B88" s="791"/>
      <c r="C88" s="12"/>
      <c r="D88" s="124"/>
      <c r="E88" s="124"/>
      <c r="F88" s="124"/>
      <c r="G88" s="124"/>
      <c r="H88" s="124"/>
      <c r="I88" s="124"/>
      <c r="J88" s="124"/>
      <c r="K88" s="124"/>
      <c r="L88" s="124"/>
      <c r="M88" s="124"/>
      <c r="N88" s="124"/>
      <c r="O88" s="124"/>
      <c r="P88" s="124"/>
      <c r="Q88" s="1"/>
      <c r="R88" s="1"/>
      <c r="S88" s="8"/>
      <c r="V88" s="21"/>
      <c r="W88" s="228"/>
      <c r="X88" s="228"/>
      <c r="Y88" s="165"/>
    </row>
    <row r="89" spans="1:16384" hidden="1">
      <c r="A89" s="126"/>
      <c r="B89" s="787" t="s">
        <v>12</v>
      </c>
      <c r="C89" s="26"/>
      <c r="D89" s="1813"/>
      <c r="E89" s="1813"/>
      <c r="F89" s="1813"/>
      <c r="G89" s="1813"/>
      <c r="H89" s="1813"/>
      <c r="I89" s="1813"/>
      <c r="J89" s="1813"/>
      <c r="K89" s="1813"/>
      <c r="L89" s="1813"/>
      <c r="M89" s="1813"/>
      <c r="N89" s="1813"/>
      <c r="O89" s="1813"/>
      <c r="P89" s="1813"/>
      <c r="Q89" s="1"/>
      <c r="R89" s="1"/>
      <c r="S89" s="8"/>
      <c r="V89" s="32"/>
      <c r="W89" s="224"/>
      <c r="X89" s="224"/>
      <c r="Y89" s="225"/>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c r="AMG89"/>
      <c r="AMH89"/>
      <c r="AMI89"/>
      <c r="AMJ89"/>
      <c r="AMK89"/>
      <c r="AML89"/>
      <c r="AMM89"/>
      <c r="AMN89"/>
      <c r="AMO89"/>
      <c r="AMP89"/>
      <c r="AMQ89"/>
      <c r="AMR89"/>
      <c r="AMS89"/>
      <c r="AMT89"/>
      <c r="AMU89"/>
      <c r="AMV89"/>
      <c r="AMW89"/>
      <c r="AMX89"/>
      <c r="AMY89"/>
      <c r="AMZ89"/>
      <c r="ANA89"/>
      <c r="ANB89"/>
      <c r="ANC89"/>
      <c r="AND89"/>
      <c r="ANE89"/>
      <c r="ANF89"/>
      <c r="ANG89"/>
      <c r="ANH89"/>
      <c r="ANI89"/>
      <c r="ANJ89"/>
      <c r="ANK89"/>
      <c r="ANL89"/>
      <c r="ANM89"/>
      <c r="ANN89"/>
      <c r="ANO89"/>
      <c r="ANP89"/>
      <c r="ANQ89"/>
      <c r="ANR89"/>
      <c r="ANS89"/>
      <c r="ANT89"/>
      <c r="ANU89"/>
      <c r="ANV89"/>
      <c r="ANW89"/>
      <c r="ANX89"/>
      <c r="ANY89"/>
      <c r="ANZ89"/>
      <c r="AOA89"/>
      <c r="AOB89"/>
      <c r="AOC89"/>
      <c r="AOD89"/>
      <c r="AOE89"/>
      <c r="AOF89"/>
      <c r="AOG89"/>
      <c r="AOH89"/>
      <c r="AOI89"/>
      <c r="AOJ89"/>
      <c r="AOK89"/>
      <c r="AOL89"/>
      <c r="AOM89"/>
      <c r="AON89"/>
      <c r="AOO89"/>
      <c r="AOP89"/>
      <c r="AOQ89"/>
      <c r="AOR89"/>
      <c r="AOS89"/>
      <c r="AOT89"/>
      <c r="AOU89"/>
      <c r="AOV89"/>
      <c r="AOW89"/>
      <c r="AOX89"/>
      <c r="AOY89"/>
      <c r="AOZ89"/>
      <c r="APA89"/>
      <c r="APB89"/>
      <c r="APC89"/>
      <c r="APD89"/>
      <c r="APE89"/>
      <c r="APF89"/>
      <c r="APG89"/>
      <c r="APH89"/>
      <c r="API89"/>
      <c r="APJ89"/>
      <c r="APK89"/>
      <c r="APL89"/>
      <c r="APM89"/>
      <c r="APN89"/>
      <c r="APO89"/>
      <c r="APP89"/>
      <c r="APQ89"/>
      <c r="APR89"/>
      <c r="APS89"/>
      <c r="APT89"/>
      <c r="APU89"/>
      <c r="APV89"/>
      <c r="APW89"/>
      <c r="APX89"/>
      <c r="APY89"/>
      <c r="APZ89"/>
      <c r="AQA89"/>
      <c r="AQB89"/>
      <c r="AQC89"/>
      <c r="AQD89"/>
      <c r="AQE89"/>
      <c r="AQF89"/>
      <c r="AQG89"/>
      <c r="AQH89"/>
      <c r="AQI89"/>
      <c r="AQJ89"/>
      <c r="AQK89"/>
      <c r="AQL89"/>
      <c r="AQM89"/>
      <c r="AQN89"/>
      <c r="AQO89"/>
      <c r="AQP89"/>
      <c r="AQQ89"/>
      <c r="AQR89"/>
      <c r="AQS89"/>
      <c r="AQT89"/>
      <c r="AQU89"/>
      <c r="AQV89"/>
      <c r="AQW89"/>
      <c r="AQX89"/>
      <c r="AQY89"/>
      <c r="AQZ89"/>
      <c r="ARA89"/>
      <c r="ARB89"/>
      <c r="ARC89"/>
      <c r="ARD89"/>
      <c r="ARE89"/>
      <c r="ARF89"/>
      <c r="ARG89"/>
      <c r="ARH89"/>
      <c r="ARI89"/>
      <c r="ARJ89"/>
      <c r="ARK89"/>
      <c r="ARL89"/>
      <c r="ARM89"/>
      <c r="ARN89"/>
      <c r="ARO89"/>
      <c r="ARP89"/>
      <c r="ARQ89"/>
      <c r="ARR89"/>
      <c r="ARS89"/>
      <c r="ART89"/>
      <c r="ARU89"/>
      <c r="ARV89"/>
      <c r="ARW89"/>
      <c r="ARX89"/>
      <c r="ARY89"/>
      <c r="ARZ89"/>
      <c r="ASA89"/>
      <c r="ASB89"/>
      <c r="ASC89"/>
      <c r="ASD89"/>
      <c r="ASE89"/>
      <c r="ASF89"/>
      <c r="ASG89"/>
      <c r="ASH89"/>
      <c r="ASI89"/>
      <c r="ASJ89"/>
      <c r="ASK89"/>
      <c r="ASL89"/>
      <c r="ASM89"/>
      <c r="ASN89"/>
      <c r="ASO89"/>
      <c r="ASP89"/>
      <c r="ASQ89"/>
      <c r="ASR89"/>
      <c r="ASS89"/>
      <c r="AST89"/>
      <c r="ASU89"/>
      <c r="ASV89"/>
      <c r="ASW89"/>
      <c r="ASX89"/>
      <c r="ASY89"/>
      <c r="ASZ89"/>
      <c r="ATA89"/>
      <c r="ATB89"/>
      <c r="ATC89"/>
      <c r="ATD89"/>
      <c r="ATE89"/>
      <c r="ATF89"/>
      <c r="ATG89"/>
      <c r="ATH89"/>
      <c r="ATI89"/>
      <c r="ATJ89"/>
      <c r="ATK89"/>
      <c r="ATL89"/>
      <c r="ATM89"/>
      <c r="ATN89"/>
      <c r="ATO89"/>
      <c r="ATP89"/>
      <c r="ATQ89"/>
      <c r="ATR89"/>
      <c r="ATS89"/>
      <c r="ATT89"/>
      <c r="ATU89"/>
      <c r="ATV89"/>
      <c r="ATW89"/>
      <c r="ATX89"/>
      <c r="ATY89"/>
      <c r="ATZ89"/>
      <c r="AUA89"/>
      <c r="AUB89"/>
      <c r="AUC89"/>
      <c r="AUD89"/>
      <c r="AUE89"/>
      <c r="AUF89"/>
      <c r="AUG89"/>
      <c r="AUH89"/>
      <c r="AUI89"/>
      <c r="AUJ89"/>
      <c r="AUK89"/>
      <c r="AUL89"/>
      <c r="AUM89"/>
      <c r="AUN89"/>
      <c r="AUO89"/>
      <c r="AUP89"/>
      <c r="AUQ89"/>
      <c r="AUR89"/>
      <c r="AUS89"/>
      <c r="AUT89"/>
      <c r="AUU89"/>
      <c r="AUV89"/>
      <c r="AUW89"/>
      <c r="AUX89"/>
      <c r="AUY89"/>
      <c r="AUZ89"/>
      <c r="AVA89"/>
      <c r="AVB89"/>
      <c r="AVC89"/>
      <c r="AVD89"/>
      <c r="AVE89"/>
      <c r="AVF89"/>
      <c r="AVG89"/>
      <c r="AVH89"/>
      <c r="AVI89"/>
      <c r="AVJ89"/>
      <c r="AVK89"/>
      <c r="AVL89"/>
      <c r="AVM89"/>
      <c r="AVN89"/>
      <c r="AVO89"/>
      <c r="AVP89"/>
      <c r="AVQ89"/>
      <c r="AVR89"/>
      <c r="AVS89"/>
      <c r="AVT89"/>
      <c r="AVU89"/>
      <c r="AVV89"/>
      <c r="AVW89"/>
      <c r="AVX89"/>
      <c r="AVY89"/>
      <c r="AVZ89"/>
      <c r="AWA89"/>
      <c r="AWB89"/>
      <c r="AWC89"/>
      <c r="AWD89"/>
      <c r="AWE89"/>
      <c r="AWF89"/>
      <c r="AWG89"/>
      <c r="AWH89"/>
      <c r="AWI89"/>
      <c r="AWJ89"/>
      <c r="AWK89"/>
      <c r="AWL89"/>
      <c r="AWM89"/>
      <c r="AWN89"/>
      <c r="AWO89"/>
      <c r="AWP89"/>
      <c r="AWQ89"/>
      <c r="AWR89"/>
      <c r="AWS89"/>
      <c r="AWT89"/>
      <c r="AWU89"/>
      <c r="AWV89"/>
      <c r="AWW89"/>
      <c r="AWX89"/>
      <c r="AWY89"/>
      <c r="AWZ89"/>
      <c r="AXA89"/>
      <c r="AXB89"/>
      <c r="AXC89"/>
      <c r="AXD89"/>
      <c r="AXE89"/>
      <c r="AXF89"/>
      <c r="AXG89"/>
      <c r="AXH89"/>
      <c r="AXI89"/>
      <c r="AXJ89"/>
      <c r="AXK89"/>
      <c r="AXL89"/>
      <c r="AXM89"/>
      <c r="AXN89"/>
      <c r="AXO89"/>
      <c r="AXP89"/>
      <c r="AXQ89"/>
      <c r="AXR89"/>
      <c r="AXS89"/>
      <c r="AXT89"/>
      <c r="AXU89"/>
      <c r="AXV89"/>
      <c r="AXW89"/>
      <c r="AXX89"/>
      <c r="AXY89"/>
      <c r="AXZ89"/>
      <c r="AYA89"/>
      <c r="AYB89"/>
      <c r="AYC89"/>
      <c r="AYD89"/>
      <c r="AYE89"/>
      <c r="AYF89"/>
      <c r="AYG89"/>
      <c r="AYH89"/>
      <c r="AYI89"/>
      <c r="AYJ89"/>
      <c r="AYK89"/>
      <c r="AYL89"/>
      <c r="AYM89"/>
      <c r="AYN89"/>
      <c r="AYO89"/>
      <c r="AYP89"/>
      <c r="AYQ89"/>
      <c r="AYR89"/>
      <c r="AYS89"/>
      <c r="AYT89"/>
      <c r="AYU89"/>
      <c r="AYV89"/>
      <c r="AYW89"/>
      <c r="AYX89"/>
      <c r="AYY89"/>
      <c r="AYZ89"/>
      <c r="AZA89"/>
      <c r="AZB89"/>
      <c r="AZC89"/>
      <c r="AZD89"/>
      <c r="AZE89"/>
      <c r="AZF89"/>
      <c r="AZG89"/>
      <c r="AZH89"/>
      <c r="AZI89"/>
      <c r="AZJ89"/>
      <c r="AZK89"/>
      <c r="AZL89"/>
      <c r="AZM89"/>
      <c r="AZN89"/>
      <c r="AZO89"/>
      <c r="AZP89"/>
      <c r="AZQ89"/>
      <c r="AZR89"/>
      <c r="AZS89"/>
      <c r="AZT89"/>
      <c r="AZU89"/>
      <c r="AZV89"/>
      <c r="AZW89"/>
      <c r="AZX89"/>
      <c r="AZY89"/>
      <c r="AZZ89"/>
      <c r="BAA89"/>
      <c r="BAB89"/>
      <c r="BAC89"/>
      <c r="BAD89"/>
      <c r="BAE89"/>
      <c r="BAF89"/>
      <c r="BAG89"/>
      <c r="BAH89"/>
      <c r="BAI89"/>
      <c r="BAJ89"/>
      <c r="BAK89"/>
      <c r="BAL89"/>
      <c r="BAM89"/>
      <c r="BAN89"/>
      <c r="BAO89"/>
      <c r="BAP89"/>
      <c r="BAQ89"/>
      <c r="BAR89"/>
      <c r="BAS89"/>
      <c r="BAT89"/>
      <c r="BAU89"/>
      <c r="BAV89"/>
      <c r="BAW89"/>
      <c r="BAX89"/>
      <c r="BAY89"/>
      <c r="BAZ89"/>
      <c r="BBA89"/>
      <c r="BBB89"/>
      <c r="BBC89"/>
      <c r="BBD89"/>
      <c r="BBE89"/>
      <c r="BBF89"/>
      <c r="BBG89"/>
      <c r="BBH89"/>
      <c r="BBI89"/>
      <c r="BBJ89"/>
      <c r="BBK89"/>
      <c r="BBL89"/>
      <c r="BBM89"/>
      <c r="BBN89"/>
      <c r="BBO89"/>
      <c r="BBP89"/>
      <c r="BBQ89"/>
      <c r="BBR89"/>
      <c r="BBS89"/>
      <c r="BBT89"/>
      <c r="BBU89"/>
      <c r="BBV89"/>
      <c r="BBW89"/>
      <c r="BBX89"/>
      <c r="BBY89"/>
      <c r="BBZ89"/>
      <c r="BCA89"/>
      <c r="BCB89"/>
      <c r="BCC89"/>
      <c r="BCD89"/>
      <c r="BCE89"/>
      <c r="BCF89"/>
      <c r="BCG89"/>
      <c r="BCH89"/>
      <c r="BCI89"/>
      <c r="BCJ89"/>
      <c r="BCK89"/>
      <c r="BCL89"/>
      <c r="BCM89"/>
      <c r="BCN89"/>
      <c r="BCO89"/>
      <c r="BCP89"/>
      <c r="BCQ89"/>
      <c r="BCR89"/>
      <c r="BCS89"/>
      <c r="BCT89"/>
      <c r="BCU89"/>
      <c r="BCV89"/>
      <c r="BCW89"/>
      <c r="BCX89"/>
      <c r="BCY89"/>
      <c r="BCZ89"/>
      <c r="BDA89"/>
      <c r="BDB89"/>
      <c r="BDC89"/>
      <c r="BDD89"/>
      <c r="BDE89"/>
      <c r="BDF89"/>
      <c r="BDG89"/>
      <c r="BDH89"/>
      <c r="BDI89"/>
      <c r="BDJ89"/>
      <c r="BDK89"/>
      <c r="BDL89"/>
      <c r="BDM89"/>
      <c r="BDN89"/>
      <c r="BDO89"/>
      <c r="BDP89"/>
      <c r="BDQ89"/>
      <c r="BDR89"/>
      <c r="BDS89"/>
      <c r="BDT89"/>
      <c r="BDU89"/>
      <c r="BDV89"/>
      <c r="BDW89"/>
      <c r="BDX89"/>
      <c r="BDY89"/>
      <c r="BDZ89"/>
      <c r="BEA89"/>
      <c r="BEB89"/>
      <c r="BEC89"/>
      <c r="BED89"/>
      <c r="BEE89"/>
      <c r="BEF89"/>
      <c r="BEG89"/>
      <c r="BEH89"/>
      <c r="BEI89"/>
      <c r="BEJ89"/>
      <c r="BEK89"/>
      <c r="BEL89"/>
      <c r="BEM89"/>
      <c r="BEN89"/>
      <c r="BEO89"/>
      <c r="BEP89"/>
      <c r="BEQ89"/>
      <c r="BER89"/>
      <c r="BES89"/>
      <c r="BET89"/>
      <c r="BEU89"/>
      <c r="BEV89"/>
      <c r="BEW89"/>
      <c r="BEX89"/>
      <c r="BEY89"/>
      <c r="BEZ89"/>
      <c r="BFA89"/>
      <c r="BFB89"/>
      <c r="BFC89"/>
      <c r="BFD89"/>
      <c r="BFE89"/>
      <c r="BFF89"/>
      <c r="BFG89"/>
      <c r="BFH89"/>
      <c r="BFI89"/>
      <c r="BFJ89"/>
      <c r="BFK89"/>
      <c r="BFL89"/>
      <c r="BFM89"/>
      <c r="BFN89"/>
      <c r="BFO89"/>
      <c r="BFP89"/>
      <c r="BFQ89"/>
      <c r="BFR89"/>
      <c r="BFS89"/>
      <c r="BFT89"/>
      <c r="BFU89"/>
      <c r="BFV89"/>
      <c r="BFW89"/>
      <c r="BFX89"/>
      <c r="BFY89"/>
      <c r="BFZ89"/>
      <c r="BGA89"/>
      <c r="BGB89"/>
      <c r="BGC89"/>
      <c r="BGD89"/>
      <c r="BGE89"/>
      <c r="BGF89"/>
      <c r="BGG89"/>
      <c r="BGH89"/>
      <c r="BGI89"/>
      <c r="BGJ89"/>
      <c r="BGK89"/>
      <c r="BGL89"/>
      <c r="BGM89"/>
      <c r="BGN89"/>
      <c r="BGO89"/>
      <c r="BGP89"/>
      <c r="BGQ89"/>
      <c r="BGR89"/>
      <c r="BGS89"/>
      <c r="BGT89"/>
      <c r="BGU89"/>
      <c r="BGV89"/>
      <c r="BGW89"/>
      <c r="BGX89"/>
      <c r="BGY89"/>
      <c r="BGZ89"/>
      <c r="BHA89"/>
      <c r="BHB89"/>
      <c r="BHC89"/>
      <c r="BHD89"/>
      <c r="BHE89"/>
      <c r="BHF89"/>
      <c r="BHG89"/>
      <c r="BHH89"/>
      <c r="BHI89"/>
      <c r="BHJ89"/>
      <c r="BHK89"/>
      <c r="BHL89"/>
      <c r="BHM89"/>
      <c r="BHN89"/>
      <c r="BHO89"/>
      <c r="BHP89"/>
      <c r="BHQ89"/>
      <c r="BHR89"/>
      <c r="BHS89"/>
      <c r="BHT89"/>
      <c r="BHU89"/>
      <c r="BHV89"/>
      <c r="BHW89"/>
      <c r="BHX89"/>
      <c r="BHY89"/>
      <c r="BHZ89"/>
      <c r="BIA89"/>
      <c r="BIB89"/>
      <c r="BIC89"/>
      <c r="BID89"/>
      <c r="BIE89"/>
      <c r="BIF89"/>
      <c r="BIG89"/>
      <c r="BIH89"/>
      <c r="BII89"/>
      <c r="BIJ89"/>
      <c r="BIK89"/>
      <c r="BIL89"/>
      <c r="BIM89"/>
      <c r="BIN89"/>
      <c r="BIO89"/>
      <c r="BIP89"/>
      <c r="BIQ89"/>
      <c r="BIR89"/>
      <c r="BIS89"/>
      <c r="BIT89"/>
      <c r="BIU89"/>
      <c r="BIV89"/>
      <c r="BIW89"/>
      <c r="BIX89"/>
      <c r="BIY89"/>
      <c r="BIZ89"/>
      <c r="BJA89"/>
      <c r="BJB89"/>
      <c r="BJC89"/>
      <c r="BJD89"/>
      <c r="BJE89"/>
      <c r="BJF89"/>
      <c r="BJG89"/>
      <c r="BJH89"/>
      <c r="BJI89"/>
      <c r="BJJ89"/>
      <c r="BJK89"/>
      <c r="BJL89"/>
      <c r="BJM89"/>
      <c r="BJN89"/>
      <c r="BJO89"/>
      <c r="BJP89"/>
      <c r="BJQ89"/>
      <c r="BJR89"/>
      <c r="BJS89"/>
      <c r="BJT89"/>
      <c r="BJU89"/>
      <c r="BJV89"/>
      <c r="BJW89"/>
      <c r="BJX89"/>
      <c r="BJY89"/>
      <c r="BJZ89"/>
      <c r="BKA89"/>
      <c r="BKB89"/>
      <c r="BKC89"/>
      <c r="BKD89"/>
      <c r="BKE89"/>
      <c r="BKF89"/>
      <c r="BKG89"/>
      <c r="BKH89"/>
      <c r="BKI89"/>
      <c r="BKJ89"/>
      <c r="BKK89"/>
      <c r="BKL89"/>
      <c r="BKM89"/>
      <c r="BKN89"/>
      <c r="BKO89"/>
      <c r="BKP89"/>
      <c r="BKQ89"/>
      <c r="BKR89"/>
      <c r="BKS89"/>
      <c r="BKT89"/>
      <c r="BKU89"/>
      <c r="BKV89"/>
      <c r="BKW89"/>
      <c r="BKX89"/>
      <c r="BKY89"/>
      <c r="BKZ89"/>
      <c r="BLA89"/>
      <c r="BLB89"/>
      <c r="BLC89"/>
      <c r="BLD89"/>
      <c r="BLE89"/>
      <c r="BLF89"/>
      <c r="BLG89"/>
      <c r="BLH89"/>
      <c r="BLI89"/>
      <c r="BLJ89"/>
      <c r="BLK89"/>
      <c r="BLL89"/>
      <c r="BLM89"/>
      <c r="BLN89"/>
      <c r="BLO89"/>
      <c r="BLP89"/>
      <c r="BLQ89"/>
      <c r="BLR89"/>
      <c r="BLS89"/>
      <c r="BLT89"/>
      <c r="BLU89"/>
      <c r="BLV89"/>
      <c r="BLW89"/>
      <c r="BLX89"/>
      <c r="BLY89"/>
      <c r="BLZ89"/>
      <c r="BMA89"/>
      <c r="BMB89"/>
      <c r="BMC89"/>
      <c r="BMD89"/>
      <c r="BME89"/>
      <c r="BMF89"/>
      <c r="BMG89"/>
      <c r="BMH89"/>
      <c r="BMI89"/>
      <c r="BMJ89"/>
      <c r="BMK89"/>
      <c r="BML89"/>
      <c r="BMM89"/>
      <c r="BMN89"/>
      <c r="BMO89"/>
      <c r="BMP89"/>
      <c r="BMQ89"/>
      <c r="BMR89"/>
      <c r="BMS89"/>
      <c r="BMT89"/>
      <c r="BMU89"/>
      <c r="BMV89"/>
      <c r="BMW89"/>
      <c r="BMX89"/>
      <c r="BMY89"/>
      <c r="BMZ89"/>
      <c r="BNA89"/>
      <c r="BNB89"/>
      <c r="BNC89"/>
      <c r="BND89"/>
      <c r="BNE89"/>
      <c r="BNF89"/>
      <c r="BNG89"/>
      <c r="BNH89"/>
      <c r="BNI89"/>
      <c r="BNJ89"/>
      <c r="BNK89"/>
      <c r="BNL89"/>
      <c r="BNM89"/>
      <c r="BNN89"/>
      <c r="BNO89"/>
      <c r="BNP89"/>
      <c r="BNQ89"/>
      <c r="BNR89"/>
      <c r="BNS89"/>
      <c r="BNT89"/>
      <c r="BNU89"/>
      <c r="BNV89"/>
      <c r="BNW89"/>
      <c r="BNX89"/>
      <c r="BNY89"/>
      <c r="BNZ89"/>
      <c r="BOA89"/>
      <c r="BOB89"/>
      <c r="BOC89"/>
      <c r="BOD89"/>
      <c r="BOE89"/>
      <c r="BOF89"/>
      <c r="BOG89"/>
      <c r="BOH89"/>
      <c r="BOI89"/>
      <c r="BOJ89"/>
      <c r="BOK89"/>
      <c r="BOL89"/>
      <c r="BOM89"/>
      <c r="BON89"/>
      <c r="BOO89"/>
      <c r="BOP89"/>
      <c r="BOQ89"/>
      <c r="BOR89"/>
      <c r="BOS89"/>
      <c r="BOT89"/>
      <c r="BOU89"/>
      <c r="BOV89"/>
      <c r="BOW89"/>
      <c r="BOX89"/>
      <c r="BOY89"/>
      <c r="BOZ89"/>
      <c r="BPA89"/>
      <c r="BPB89"/>
      <c r="BPC89"/>
      <c r="BPD89"/>
      <c r="BPE89"/>
      <c r="BPF89"/>
      <c r="BPG89"/>
      <c r="BPH89"/>
      <c r="BPI89"/>
      <c r="BPJ89"/>
      <c r="BPK89"/>
      <c r="BPL89"/>
      <c r="BPM89"/>
      <c r="BPN89"/>
      <c r="BPO89"/>
      <c r="BPP89"/>
      <c r="BPQ89"/>
      <c r="BPR89"/>
      <c r="BPS89"/>
      <c r="BPT89"/>
      <c r="BPU89"/>
      <c r="BPV89"/>
      <c r="BPW89"/>
      <c r="BPX89"/>
      <c r="BPY89"/>
      <c r="BPZ89"/>
      <c r="BQA89"/>
      <c r="BQB89"/>
      <c r="BQC89"/>
      <c r="BQD89"/>
      <c r="BQE89"/>
      <c r="BQF89"/>
      <c r="BQG89"/>
      <c r="BQH89"/>
      <c r="BQI89"/>
      <c r="BQJ89"/>
      <c r="BQK89"/>
      <c r="BQL89"/>
      <c r="BQM89"/>
      <c r="BQN89"/>
      <c r="BQO89"/>
      <c r="BQP89"/>
      <c r="BQQ89"/>
      <c r="BQR89"/>
      <c r="BQS89"/>
      <c r="BQT89"/>
      <c r="BQU89"/>
      <c r="BQV89"/>
      <c r="BQW89"/>
      <c r="BQX89"/>
      <c r="BQY89"/>
      <c r="BQZ89"/>
      <c r="BRA89"/>
      <c r="BRB89"/>
      <c r="BRC89"/>
      <c r="BRD89"/>
      <c r="BRE89"/>
      <c r="BRF89"/>
      <c r="BRG89"/>
      <c r="BRH89"/>
      <c r="BRI89"/>
      <c r="BRJ89"/>
      <c r="BRK89"/>
      <c r="BRL89"/>
      <c r="BRM89"/>
      <c r="BRN89"/>
      <c r="BRO89"/>
      <c r="BRP89"/>
      <c r="BRQ89"/>
      <c r="BRR89"/>
      <c r="BRS89"/>
      <c r="BRT89"/>
      <c r="BRU89"/>
      <c r="BRV89"/>
      <c r="BRW89"/>
      <c r="BRX89"/>
      <c r="BRY89"/>
      <c r="BRZ89"/>
      <c r="BSA89"/>
      <c r="BSB89"/>
      <c r="BSC89"/>
      <c r="BSD89"/>
      <c r="BSE89"/>
      <c r="BSF89"/>
      <c r="BSG89"/>
      <c r="BSH89"/>
      <c r="BSI89"/>
      <c r="BSJ89"/>
      <c r="BSK89"/>
      <c r="BSL89"/>
      <c r="BSM89"/>
      <c r="BSN89"/>
      <c r="BSO89"/>
      <c r="BSP89"/>
      <c r="BSQ89"/>
      <c r="BSR89"/>
      <c r="BSS89"/>
      <c r="BST89"/>
      <c r="BSU89"/>
      <c r="BSV89"/>
      <c r="BSW89"/>
      <c r="BSX89"/>
      <c r="BSY89"/>
      <c r="BSZ89"/>
      <c r="BTA89"/>
      <c r="BTB89"/>
      <c r="BTC89"/>
      <c r="BTD89"/>
      <c r="BTE89"/>
      <c r="BTF89"/>
      <c r="BTG89"/>
      <c r="BTH89"/>
      <c r="BTI89"/>
      <c r="BTJ89"/>
      <c r="BTK89"/>
      <c r="BTL89"/>
      <c r="BTM89"/>
      <c r="BTN89"/>
      <c r="BTO89"/>
      <c r="BTP89"/>
      <c r="BTQ89"/>
      <c r="BTR89"/>
      <c r="BTS89"/>
      <c r="BTT89"/>
      <c r="BTU89"/>
      <c r="BTV89"/>
      <c r="BTW89"/>
      <c r="BTX89"/>
      <c r="BTY89"/>
      <c r="BTZ89"/>
      <c r="BUA89"/>
      <c r="BUB89"/>
      <c r="BUC89"/>
      <c r="BUD89"/>
      <c r="BUE89"/>
      <c r="BUF89"/>
      <c r="BUG89"/>
      <c r="BUH89"/>
      <c r="BUI89"/>
      <c r="BUJ89"/>
      <c r="BUK89"/>
      <c r="BUL89"/>
      <c r="BUM89"/>
      <c r="BUN89"/>
      <c r="BUO89"/>
      <c r="BUP89"/>
      <c r="BUQ89"/>
      <c r="BUR89"/>
      <c r="BUS89"/>
      <c r="BUT89"/>
      <c r="BUU89"/>
      <c r="BUV89"/>
      <c r="BUW89"/>
      <c r="BUX89"/>
      <c r="BUY89"/>
      <c r="BUZ89"/>
      <c r="BVA89"/>
      <c r="BVB89"/>
      <c r="BVC89"/>
      <c r="BVD89"/>
      <c r="BVE89"/>
      <c r="BVF89"/>
      <c r="BVG89"/>
      <c r="BVH89"/>
      <c r="BVI89"/>
      <c r="BVJ89"/>
      <c r="BVK89"/>
      <c r="BVL89"/>
      <c r="BVM89"/>
      <c r="BVN89"/>
      <c r="BVO89"/>
      <c r="BVP89"/>
      <c r="BVQ89"/>
      <c r="BVR89"/>
      <c r="BVS89"/>
      <c r="BVT89"/>
      <c r="BVU89"/>
      <c r="BVV89"/>
      <c r="BVW89"/>
      <c r="BVX89"/>
      <c r="BVY89"/>
      <c r="BVZ89"/>
      <c r="BWA89"/>
      <c r="BWB89"/>
      <c r="BWC89"/>
      <c r="BWD89"/>
      <c r="BWE89"/>
      <c r="BWF89"/>
      <c r="BWG89"/>
      <c r="BWH89"/>
      <c r="BWI89"/>
      <c r="BWJ89"/>
      <c r="BWK89"/>
      <c r="BWL89"/>
      <c r="BWM89"/>
      <c r="BWN89"/>
      <c r="BWO89"/>
      <c r="BWP89"/>
      <c r="BWQ89"/>
      <c r="BWR89"/>
      <c r="BWS89"/>
      <c r="BWT89"/>
      <c r="BWU89"/>
      <c r="BWV89"/>
      <c r="BWW89"/>
      <c r="BWX89"/>
      <c r="BWY89"/>
      <c r="BWZ89"/>
      <c r="BXA89"/>
      <c r="BXB89"/>
      <c r="BXC89"/>
      <c r="BXD89"/>
      <c r="BXE89"/>
      <c r="BXF89"/>
      <c r="BXG89"/>
      <c r="BXH89"/>
      <c r="BXI89"/>
      <c r="BXJ89"/>
      <c r="BXK89"/>
      <c r="BXL89"/>
      <c r="BXM89"/>
      <c r="BXN89"/>
      <c r="BXO89"/>
      <c r="BXP89"/>
      <c r="BXQ89"/>
      <c r="BXR89"/>
      <c r="BXS89"/>
      <c r="BXT89"/>
      <c r="BXU89"/>
      <c r="BXV89"/>
      <c r="BXW89"/>
      <c r="BXX89"/>
      <c r="BXY89"/>
      <c r="BXZ89"/>
      <c r="BYA89"/>
      <c r="BYB89"/>
      <c r="BYC89"/>
      <c r="BYD89"/>
      <c r="BYE89"/>
      <c r="BYF89"/>
      <c r="BYG89"/>
      <c r="BYH89"/>
      <c r="BYI89"/>
      <c r="BYJ89"/>
      <c r="BYK89"/>
      <c r="BYL89"/>
      <c r="BYM89"/>
      <c r="BYN89"/>
      <c r="BYO89"/>
      <c r="BYP89"/>
      <c r="BYQ89"/>
      <c r="BYR89"/>
      <c r="BYS89"/>
      <c r="BYT89"/>
      <c r="BYU89"/>
      <c r="BYV89"/>
      <c r="BYW89"/>
      <c r="BYX89"/>
      <c r="BYY89"/>
      <c r="BYZ89"/>
      <c r="BZA89"/>
      <c r="BZB89"/>
      <c r="BZC89"/>
      <c r="BZD89"/>
      <c r="BZE89"/>
      <c r="BZF89"/>
      <c r="BZG89"/>
      <c r="BZH89"/>
      <c r="BZI89"/>
      <c r="BZJ89"/>
      <c r="BZK89"/>
      <c r="BZL89"/>
      <c r="BZM89"/>
      <c r="BZN89"/>
      <c r="BZO89"/>
      <c r="BZP89"/>
      <c r="BZQ89"/>
      <c r="BZR89"/>
      <c r="BZS89"/>
      <c r="BZT89"/>
      <c r="BZU89"/>
      <c r="BZV89"/>
      <c r="BZW89"/>
      <c r="BZX89"/>
      <c r="BZY89"/>
      <c r="BZZ89"/>
      <c r="CAA89"/>
      <c r="CAB89"/>
      <c r="CAC89"/>
      <c r="CAD89"/>
      <c r="CAE89"/>
      <c r="CAF89"/>
      <c r="CAG89"/>
      <c r="CAH89"/>
      <c r="CAI89"/>
      <c r="CAJ89"/>
      <c r="CAK89"/>
      <c r="CAL89"/>
      <c r="CAM89"/>
      <c r="CAN89"/>
      <c r="CAO89"/>
      <c r="CAP89"/>
      <c r="CAQ89"/>
      <c r="CAR89"/>
      <c r="CAS89"/>
      <c r="CAT89"/>
      <c r="CAU89"/>
      <c r="CAV89"/>
      <c r="CAW89"/>
      <c r="CAX89"/>
      <c r="CAY89"/>
      <c r="CAZ89"/>
      <c r="CBA89"/>
      <c r="CBB89"/>
      <c r="CBC89"/>
      <c r="CBD89"/>
      <c r="CBE89"/>
      <c r="CBF89"/>
      <c r="CBG89"/>
      <c r="CBH89"/>
      <c r="CBI89"/>
      <c r="CBJ89"/>
      <c r="CBK89"/>
      <c r="CBL89"/>
      <c r="CBM89"/>
      <c r="CBN89"/>
      <c r="CBO89"/>
      <c r="CBP89"/>
      <c r="CBQ89"/>
      <c r="CBR89"/>
      <c r="CBS89"/>
      <c r="CBT89"/>
      <c r="CBU89"/>
      <c r="CBV89"/>
      <c r="CBW89"/>
      <c r="CBX89"/>
      <c r="CBY89"/>
      <c r="CBZ89"/>
      <c r="CCA89"/>
      <c r="CCB89"/>
      <c r="CCC89"/>
      <c r="CCD89"/>
      <c r="CCE89"/>
      <c r="CCF89"/>
      <c r="CCG89"/>
      <c r="CCH89"/>
      <c r="CCI89"/>
      <c r="CCJ89"/>
      <c r="CCK89"/>
      <c r="CCL89"/>
      <c r="CCM89"/>
      <c r="CCN89"/>
      <c r="CCO89"/>
      <c r="CCP89"/>
      <c r="CCQ89"/>
      <c r="CCR89"/>
      <c r="CCS89"/>
      <c r="CCT89"/>
      <c r="CCU89"/>
      <c r="CCV89"/>
      <c r="CCW89"/>
      <c r="CCX89"/>
      <c r="CCY89"/>
      <c r="CCZ89"/>
      <c r="CDA89"/>
      <c r="CDB89"/>
      <c r="CDC89"/>
      <c r="CDD89"/>
      <c r="CDE89"/>
      <c r="CDF89"/>
      <c r="CDG89"/>
      <c r="CDH89"/>
      <c r="CDI89"/>
      <c r="CDJ89"/>
      <c r="CDK89"/>
      <c r="CDL89"/>
      <c r="CDM89"/>
      <c r="CDN89"/>
      <c r="CDO89"/>
      <c r="CDP89"/>
      <c r="CDQ89"/>
      <c r="CDR89"/>
      <c r="CDS89"/>
      <c r="CDT89"/>
      <c r="CDU89"/>
      <c r="CDV89"/>
      <c r="CDW89"/>
      <c r="CDX89"/>
      <c r="CDY89"/>
      <c r="CDZ89"/>
      <c r="CEA89"/>
      <c r="CEB89"/>
      <c r="CEC89"/>
      <c r="CED89"/>
      <c r="CEE89"/>
      <c r="CEF89"/>
      <c r="CEG89"/>
      <c r="CEH89"/>
      <c r="CEI89"/>
      <c r="CEJ89"/>
      <c r="CEK89"/>
      <c r="CEL89"/>
      <c r="CEM89"/>
      <c r="CEN89"/>
      <c r="CEO89"/>
      <c r="CEP89"/>
      <c r="CEQ89"/>
      <c r="CER89"/>
      <c r="CES89"/>
      <c r="CET89"/>
      <c r="CEU89"/>
      <c r="CEV89"/>
      <c r="CEW89"/>
      <c r="CEX89"/>
      <c r="CEY89"/>
      <c r="CEZ89"/>
      <c r="CFA89"/>
      <c r="CFB89"/>
      <c r="CFC89"/>
      <c r="CFD89"/>
      <c r="CFE89"/>
      <c r="CFF89"/>
      <c r="CFG89"/>
      <c r="CFH89"/>
      <c r="CFI89"/>
      <c r="CFJ89"/>
      <c r="CFK89"/>
      <c r="CFL89"/>
      <c r="CFM89"/>
      <c r="CFN89"/>
      <c r="CFO89"/>
      <c r="CFP89"/>
      <c r="CFQ89"/>
      <c r="CFR89"/>
      <c r="CFS89"/>
      <c r="CFT89"/>
      <c r="CFU89"/>
      <c r="CFV89"/>
      <c r="CFW89"/>
      <c r="CFX89"/>
      <c r="CFY89"/>
      <c r="CFZ89"/>
      <c r="CGA89"/>
      <c r="CGB89"/>
      <c r="CGC89"/>
      <c r="CGD89"/>
      <c r="CGE89"/>
      <c r="CGF89"/>
      <c r="CGG89"/>
      <c r="CGH89"/>
      <c r="CGI89"/>
      <c r="CGJ89"/>
      <c r="CGK89"/>
      <c r="CGL89"/>
      <c r="CGM89"/>
      <c r="CGN89"/>
      <c r="CGO89"/>
      <c r="CGP89"/>
      <c r="CGQ89"/>
      <c r="CGR89"/>
      <c r="CGS89"/>
      <c r="CGT89"/>
      <c r="CGU89"/>
      <c r="CGV89"/>
      <c r="CGW89"/>
      <c r="CGX89"/>
      <c r="CGY89"/>
      <c r="CGZ89"/>
      <c r="CHA89"/>
      <c r="CHB89"/>
      <c r="CHC89"/>
      <c r="CHD89"/>
      <c r="CHE89"/>
      <c r="CHF89"/>
      <c r="CHG89"/>
      <c r="CHH89"/>
      <c r="CHI89"/>
      <c r="CHJ89"/>
      <c r="CHK89"/>
      <c r="CHL89"/>
      <c r="CHM89"/>
      <c r="CHN89"/>
      <c r="CHO89"/>
      <c r="CHP89"/>
      <c r="CHQ89"/>
      <c r="CHR89"/>
      <c r="CHS89"/>
      <c r="CHT89"/>
      <c r="CHU89"/>
      <c r="CHV89"/>
      <c r="CHW89"/>
      <c r="CHX89"/>
      <c r="CHY89"/>
      <c r="CHZ89"/>
      <c r="CIA89"/>
      <c r="CIB89"/>
      <c r="CIC89"/>
      <c r="CID89"/>
      <c r="CIE89"/>
      <c r="CIF89"/>
      <c r="CIG89"/>
      <c r="CIH89"/>
      <c r="CII89"/>
      <c r="CIJ89"/>
      <c r="CIK89"/>
      <c r="CIL89"/>
      <c r="CIM89"/>
      <c r="CIN89"/>
      <c r="CIO89"/>
      <c r="CIP89"/>
      <c r="CIQ89"/>
      <c r="CIR89"/>
      <c r="CIS89"/>
      <c r="CIT89"/>
      <c r="CIU89"/>
      <c r="CIV89"/>
      <c r="CIW89"/>
      <c r="CIX89"/>
      <c r="CIY89"/>
      <c r="CIZ89"/>
      <c r="CJA89"/>
      <c r="CJB89"/>
      <c r="CJC89"/>
      <c r="CJD89"/>
      <c r="CJE89"/>
      <c r="CJF89"/>
      <c r="CJG89"/>
      <c r="CJH89"/>
      <c r="CJI89"/>
      <c r="CJJ89"/>
      <c r="CJK89"/>
      <c r="CJL89"/>
      <c r="CJM89"/>
      <c r="CJN89"/>
      <c r="CJO89"/>
      <c r="CJP89"/>
      <c r="CJQ89"/>
      <c r="CJR89"/>
      <c r="CJS89"/>
      <c r="CJT89"/>
      <c r="CJU89"/>
      <c r="CJV89"/>
      <c r="CJW89"/>
      <c r="CJX89"/>
      <c r="CJY89"/>
      <c r="CJZ89"/>
      <c r="CKA89"/>
      <c r="CKB89"/>
      <c r="CKC89"/>
      <c r="CKD89"/>
      <c r="CKE89"/>
      <c r="CKF89"/>
      <c r="CKG89"/>
      <c r="CKH89"/>
      <c r="CKI89"/>
      <c r="CKJ89"/>
      <c r="CKK89"/>
      <c r="CKL89"/>
      <c r="CKM89"/>
      <c r="CKN89"/>
      <c r="CKO89"/>
      <c r="CKP89"/>
      <c r="CKQ89"/>
      <c r="CKR89"/>
      <c r="CKS89"/>
      <c r="CKT89"/>
      <c r="CKU89"/>
      <c r="CKV89"/>
      <c r="CKW89"/>
      <c r="CKX89"/>
      <c r="CKY89"/>
      <c r="CKZ89"/>
      <c r="CLA89"/>
      <c r="CLB89"/>
      <c r="CLC89"/>
      <c r="CLD89"/>
      <c r="CLE89"/>
      <c r="CLF89"/>
      <c r="CLG89"/>
      <c r="CLH89"/>
      <c r="CLI89"/>
      <c r="CLJ89"/>
      <c r="CLK89"/>
      <c r="CLL89"/>
      <c r="CLM89"/>
      <c r="CLN89"/>
      <c r="CLO89"/>
      <c r="CLP89"/>
      <c r="CLQ89"/>
      <c r="CLR89"/>
      <c r="CLS89"/>
      <c r="CLT89"/>
      <c r="CLU89"/>
      <c r="CLV89"/>
      <c r="CLW89"/>
      <c r="CLX89"/>
      <c r="CLY89"/>
      <c r="CLZ89"/>
      <c r="CMA89"/>
      <c r="CMB89"/>
      <c r="CMC89"/>
      <c r="CMD89"/>
      <c r="CME89"/>
      <c r="CMF89"/>
      <c r="CMG89"/>
      <c r="CMH89"/>
      <c r="CMI89"/>
      <c r="CMJ89"/>
      <c r="CMK89"/>
      <c r="CML89"/>
      <c r="CMM89"/>
      <c r="CMN89"/>
      <c r="CMO89"/>
      <c r="CMP89"/>
      <c r="CMQ89"/>
      <c r="CMR89"/>
      <c r="CMS89"/>
      <c r="CMT89"/>
      <c r="CMU89"/>
      <c r="CMV89"/>
      <c r="CMW89"/>
      <c r="CMX89"/>
      <c r="CMY89"/>
      <c r="CMZ89"/>
      <c r="CNA89"/>
      <c r="CNB89"/>
      <c r="CNC89"/>
      <c r="CND89"/>
      <c r="CNE89"/>
      <c r="CNF89"/>
      <c r="CNG89"/>
      <c r="CNH89"/>
      <c r="CNI89"/>
      <c r="CNJ89"/>
      <c r="CNK89"/>
      <c r="CNL89"/>
      <c r="CNM89"/>
      <c r="CNN89"/>
      <c r="CNO89"/>
      <c r="CNP89"/>
      <c r="CNQ89"/>
      <c r="CNR89"/>
      <c r="CNS89"/>
      <c r="CNT89"/>
      <c r="CNU89"/>
      <c r="CNV89"/>
      <c r="CNW89"/>
      <c r="CNX89"/>
      <c r="CNY89"/>
      <c r="CNZ89"/>
      <c r="COA89"/>
      <c r="COB89"/>
      <c r="COC89"/>
      <c r="COD89"/>
      <c r="COE89"/>
      <c r="COF89"/>
      <c r="COG89"/>
      <c r="COH89"/>
      <c r="COI89"/>
      <c r="COJ89"/>
      <c r="COK89"/>
      <c r="COL89"/>
      <c r="COM89"/>
      <c r="CON89"/>
      <c r="COO89"/>
      <c r="COP89"/>
      <c r="COQ89"/>
      <c r="COR89"/>
      <c r="COS89"/>
      <c r="COT89"/>
      <c r="COU89"/>
      <c r="COV89"/>
      <c r="COW89"/>
      <c r="COX89"/>
      <c r="COY89"/>
      <c r="COZ89"/>
      <c r="CPA89"/>
      <c r="CPB89"/>
      <c r="CPC89"/>
      <c r="CPD89"/>
      <c r="CPE89"/>
      <c r="CPF89"/>
      <c r="CPG89"/>
      <c r="CPH89"/>
      <c r="CPI89"/>
      <c r="CPJ89"/>
      <c r="CPK89"/>
      <c r="CPL89"/>
      <c r="CPM89"/>
      <c r="CPN89"/>
      <c r="CPO89"/>
      <c r="CPP89"/>
      <c r="CPQ89"/>
      <c r="CPR89"/>
      <c r="CPS89"/>
      <c r="CPT89"/>
      <c r="CPU89"/>
      <c r="CPV89"/>
      <c r="CPW89"/>
      <c r="CPX89"/>
      <c r="CPY89"/>
      <c r="CPZ89"/>
      <c r="CQA89"/>
      <c r="CQB89"/>
      <c r="CQC89"/>
      <c r="CQD89"/>
      <c r="CQE89"/>
      <c r="CQF89"/>
      <c r="CQG89"/>
      <c r="CQH89"/>
      <c r="CQI89"/>
      <c r="CQJ89"/>
      <c r="CQK89"/>
      <c r="CQL89"/>
      <c r="CQM89"/>
      <c r="CQN89"/>
      <c r="CQO89"/>
      <c r="CQP89"/>
      <c r="CQQ89"/>
      <c r="CQR89"/>
      <c r="CQS89"/>
      <c r="CQT89"/>
      <c r="CQU89"/>
      <c r="CQV89"/>
      <c r="CQW89"/>
      <c r="CQX89"/>
      <c r="CQY89"/>
      <c r="CQZ89"/>
      <c r="CRA89"/>
      <c r="CRB89"/>
      <c r="CRC89"/>
      <c r="CRD89"/>
      <c r="CRE89"/>
      <c r="CRF89"/>
      <c r="CRG89"/>
      <c r="CRH89"/>
      <c r="CRI89"/>
      <c r="CRJ89"/>
      <c r="CRK89"/>
      <c r="CRL89"/>
      <c r="CRM89"/>
      <c r="CRN89"/>
      <c r="CRO89"/>
      <c r="CRP89"/>
      <c r="CRQ89"/>
      <c r="CRR89"/>
      <c r="CRS89"/>
      <c r="CRT89"/>
      <c r="CRU89"/>
      <c r="CRV89"/>
      <c r="CRW89"/>
      <c r="CRX89"/>
      <c r="CRY89"/>
      <c r="CRZ89"/>
      <c r="CSA89"/>
      <c r="CSB89"/>
      <c r="CSC89"/>
      <c r="CSD89"/>
      <c r="CSE89"/>
      <c r="CSF89"/>
      <c r="CSG89"/>
      <c r="CSH89"/>
      <c r="CSI89"/>
      <c r="CSJ89"/>
      <c r="CSK89"/>
      <c r="CSL89"/>
      <c r="CSM89"/>
      <c r="CSN89"/>
      <c r="CSO89"/>
      <c r="CSP89"/>
      <c r="CSQ89"/>
      <c r="CSR89"/>
      <c r="CSS89"/>
      <c r="CST89"/>
      <c r="CSU89"/>
      <c r="CSV89"/>
      <c r="CSW89"/>
      <c r="CSX89"/>
      <c r="CSY89"/>
      <c r="CSZ89"/>
      <c r="CTA89"/>
      <c r="CTB89"/>
      <c r="CTC89"/>
      <c r="CTD89"/>
      <c r="CTE89"/>
      <c r="CTF89"/>
      <c r="CTG89"/>
      <c r="CTH89"/>
      <c r="CTI89"/>
      <c r="CTJ89"/>
      <c r="CTK89"/>
      <c r="CTL89"/>
      <c r="CTM89"/>
      <c r="CTN89"/>
      <c r="CTO89"/>
      <c r="CTP89"/>
      <c r="CTQ89"/>
      <c r="CTR89"/>
      <c r="CTS89"/>
      <c r="CTT89"/>
      <c r="CTU89"/>
      <c r="CTV89"/>
      <c r="CTW89"/>
      <c r="CTX89"/>
      <c r="CTY89"/>
      <c r="CTZ89"/>
      <c r="CUA89"/>
      <c r="CUB89"/>
      <c r="CUC89"/>
      <c r="CUD89"/>
      <c r="CUE89"/>
      <c r="CUF89"/>
      <c r="CUG89"/>
      <c r="CUH89"/>
      <c r="CUI89"/>
      <c r="CUJ89"/>
      <c r="CUK89"/>
      <c r="CUL89"/>
      <c r="CUM89"/>
      <c r="CUN89"/>
      <c r="CUO89"/>
      <c r="CUP89"/>
      <c r="CUQ89"/>
      <c r="CUR89"/>
      <c r="CUS89"/>
      <c r="CUT89"/>
      <c r="CUU89"/>
      <c r="CUV89"/>
      <c r="CUW89"/>
      <c r="CUX89"/>
      <c r="CUY89"/>
      <c r="CUZ89"/>
      <c r="CVA89"/>
      <c r="CVB89"/>
      <c r="CVC89"/>
      <c r="CVD89"/>
      <c r="CVE89"/>
      <c r="CVF89"/>
      <c r="CVG89"/>
      <c r="CVH89"/>
      <c r="CVI89"/>
      <c r="CVJ89"/>
      <c r="CVK89"/>
      <c r="CVL89"/>
      <c r="CVM89"/>
      <c r="CVN89"/>
      <c r="CVO89"/>
      <c r="CVP89"/>
      <c r="CVQ89"/>
      <c r="CVR89"/>
      <c r="CVS89"/>
      <c r="CVT89"/>
      <c r="CVU89"/>
      <c r="CVV89"/>
      <c r="CVW89"/>
      <c r="CVX89"/>
      <c r="CVY89"/>
      <c r="CVZ89"/>
      <c r="CWA89"/>
      <c r="CWB89"/>
      <c r="CWC89"/>
      <c r="CWD89"/>
      <c r="CWE89"/>
      <c r="CWF89"/>
      <c r="CWG89"/>
      <c r="CWH89"/>
      <c r="CWI89"/>
      <c r="CWJ89"/>
      <c r="CWK89"/>
      <c r="CWL89"/>
      <c r="CWM89"/>
      <c r="CWN89"/>
      <c r="CWO89"/>
      <c r="CWP89"/>
      <c r="CWQ89"/>
      <c r="CWR89"/>
      <c r="CWS89"/>
      <c r="CWT89"/>
      <c r="CWU89"/>
      <c r="CWV89"/>
      <c r="CWW89"/>
      <c r="CWX89"/>
      <c r="CWY89"/>
      <c r="CWZ89"/>
      <c r="CXA89"/>
      <c r="CXB89"/>
      <c r="CXC89"/>
      <c r="CXD89"/>
      <c r="CXE89"/>
      <c r="CXF89"/>
      <c r="CXG89"/>
      <c r="CXH89"/>
      <c r="CXI89"/>
      <c r="CXJ89"/>
      <c r="CXK89"/>
      <c r="CXL89"/>
      <c r="CXM89"/>
      <c r="CXN89"/>
      <c r="CXO89"/>
      <c r="CXP89"/>
      <c r="CXQ89"/>
      <c r="CXR89"/>
      <c r="CXS89"/>
      <c r="CXT89"/>
      <c r="CXU89"/>
      <c r="CXV89"/>
      <c r="CXW89"/>
      <c r="CXX89"/>
      <c r="CXY89"/>
      <c r="CXZ89"/>
      <c r="CYA89"/>
      <c r="CYB89"/>
      <c r="CYC89"/>
      <c r="CYD89"/>
      <c r="CYE89"/>
      <c r="CYF89"/>
      <c r="CYG89"/>
      <c r="CYH89"/>
      <c r="CYI89"/>
      <c r="CYJ89"/>
      <c r="CYK89"/>
      <c r="CYL89"/>
      <c r="CYM89"/>
      <c r="CYN89"/>
      <c r="CYO89"/>
      <c r="CYP89"/>
      <c r="CYQ89"/>
      <c r="CYR89"/>
      <c r="CYS89"/>
      <c r="CYT89"/>
      <c r="CYU89"/>
      <c r="CYV89"/>
      <c r="CYW89"/>
      <c r="CYX89"/>
      <c r="CYY89"/>
      <c r="CYZ89"/>
      <c r="CZA89"/>
      <c r="CZB89"/>
      <c r="CZC89"/>
      <c r="CZD89"/>
      <c r="CZE89"/>
      <c r="CZF89"/>
      <c r="CZG89"/>
      <c r="CZH89"/>
      <c r="CZI89"/>
      <c r="CZJ89"/>
      <c r="CZK89"/>
      <c r="CZL89"/>
      <c r="CZM89"/>
      <c r="CZN89"/>
      <c r="CZO89"/>
      <c r="CZP89"/>
      <c r="CZQ89"/>
      <c r="CZR89"/>
      <c r="CZS89"/>
      <c r="CZT89"/>
      <c r="CZU89"/>
      <c r="CZV89"/>
      <c r="CZW89"/>
      <c r="CZX89"/>
      <c r="CZY89"/>
      <c r="CZZ89"/>
      <c r="DAA89"/>
      <c r="DAB89"/>
      <c r="DAC89"/>
      <c r="DAD89"/>
      <c r="DAE89"/>
      <c r="DAF89"/>
      <c r="DAG89"/>
      <c r="DAH89"/>
      <c r="DAI89"/>
      <c r="DAJ89"/>
      <c r="DAK89"/>
      <c r="DAL89"/>
      <c r="DAM89"/>
      <c r="DAN89"/>
      <c r="DAO89"/>
      <c r="DAP89"/>
      <c r="DAQ89"/>
      <c r="DAR89"/>
      <c r="DAS89"/>
      <c r="DAT89"/>
      <c r="DAU89"/>
      <c r="DAV89"/>
      <c r="DAW89"/>
      <c r="DAX89"/>
      <c r="DAY89"/>
      <c r="DAZ89"/>
      <c r="DBA89"/>
      <c r="DBB89"/>
      <c r="DBC89"/>
      <c r="DBD89"/>
      <c r="DBE89"/>
      <c r="DBF89"/>
      <c r="DBG89"/>
      <c r="DBH89"/>
      <c r="DBI89"/>
      <c r="DBJ89"/>
      <c r="DBK89"/>
      <c r="DBL89"/>
      <c r="DBM89"/>
      <c r="DBN89"/>
      <c r="DBO89"/>
      <c r="DBP89"/>
      <c r="DBQ89"/>
      <c r="DBR89"/>
      <c r="DBS89"/>
      <c r="DBT89"/>
      <c r="DBU89"/>
      <c r="DBV89"/>
      <c r="DBW89"/>
      <c r="DBX89"/>
      <c r="DBY89"/>
      <c r="DBZ89"/>
      <c r="DCA89"/>
      <c r="DCB89"/>
      <c r="DCC89"/>
      <c r="DCD89"/>
      <c r="DCE89"/>
      <c r="DCF89"/>
      <c r="DCG89"/>
      <c r="DCH89"/>
      <c r="DCI89"/>
      <c r="DCJ89"/>
      <c r="DCK89"/>
      <c r="DCL89"/>
      <c r="DCM89"/>
      <c r="DCN89"/>
      <c r="DCO89"/>
      <c r="DCP89"/>
      <c r="DCQ89"/>
      <c r="DCR89"/>
      <c r="DCS89"/>
      <c r="DCT89"/>
      <c r="DCU89"/>
      <c r="DCV89"/>
      <c r="DCW89"/>
      <c r="DCX89"/>
      <c r="DCY89"/>
      <c r="DCZ89"/>
      <c r="DDA89"/>
      <c r="DDB89"/>
      <c r="DDC89"/>
      <c r="DDD89"/>
      <c r="DDE89"/>
      <c r="DDF89"/>
      <c r="DDG89"/>
      <c r="DDH89"/>
      <c r="DDI89"/>
      <c r="DDJ89"/>
      <c r="DDK89"/>
      <c r="DDL89"/>
      <c r="DDM89"/>
      <c r="DDN89"/>
      <c r="DDO89"/>
      <c r="DDP89"/>
      <c r="DDQ89"/>
      <c r="DDR89"/>
      <c r="DDS89"/>
      <c r="DDT89"/>
      <c r="DDU89"/>
      <c r="DDV89"/>
      <c r="DDW89"/>
      <c r="DDX89"/>
      <c r="DDY89"/>
      <c r="DDZ89"/>
      <c r="DEA89"/>
      <c r="DEB89"/>
      <c r="DEC89"/>
      <c r="DED89"/>
      <c r="DEE89"/>
      <c r="DEF89"/>
      <c r="DEG89"/>
      <c r="DEH89"/>
      <c r="DEI89"/>
      <c r="DEJ89"/>
      <c r="DEK89"/>
      <c r="DEL89"/>
      <c r="DEM89"/>
      <c r="DEN89"/>
      <c r="DEO89"/>
      <c r="DEP89"/>
      <c r="DEQ89"/>
      <c r="DER89"/>
      <c r="DES89"/>
      <c r="DET89"/>
      <c r="DEU89"/>
      <c r="DEV89"/>
      <c r="DEW89"/>
      <c r="DEX89"/>
      <c r="DEY89"/>
      <c r="DEZ89"/>
      <c r="DFA89"/>
      <c r="DFB89"/>
      <c r="DFC89"/>
      <c r="DFD89"/>
      <c r="DFE89"/>
      <c r="DFF89"/>
      <c r="DFG89"/>
      <c r="DFH89"/>
      <c r="DFI89"/>
      <c r="DFJ89"/>
      <c r="DFK89"/>
      <c r="DFL89"/>
      <c r="DFM89"/>
      <c r="DFN89"/>
      <c r="DFO89"/>
      <c r="DFP89"/>
      <c r="DFQ89"/>
      <c r="DFR89"/>
      <c r="DFS89"/>
      <c r="DFT89"/>
      <c r="DFU89"/>
      <c r="DFV89"/>
      <c r="DFW89"/>
      <c r="DFX89"/>
      <c r="DFY89"/>
      <c r="DFZ89"/>
      <c r="DGA89"/>
      <c r="DGB89"/>
      <c r="DGC89"/>
      <c r="DGD89"/>
      <c r="DGE89"/>
      <c r="DGF89"/>
      <c r="DGG89"/>
      <c r="DGH89"/>
      <c r="DGI89"/>
      <c r="DGJ89"/>
      <c r="DGK89"/>
      <c r="DGL89"/>
      <c r="DGM89"/>
      <c r="DGN89"/>
      <c r="DGO89"/>
      <c r="DGP89"/>
      <c r="DGQ89"/>
      <c r="DGR89"/>
      <c r="DGS89"/>
      <c r="DGT89"/>
      <c r="DGU89"/>
      <c r="DGV89"/>
      <c r="DGW89"/>
      <c r="DGX89"/>
      <c r="DGY89"/>
      <c r="DGZ89"/>
      <c r="DHA89"/>
      <c r="DHB89"/>
      <c r="DHC89"/>
      <c r="DHD89"/>
      <c r="DHE89"/>
      <c r="DHF89"/>
      <c r="DHG89"/>
      <c r="DHH89"/>
      <c r="DHI89"/>
      <c r="DHJ89"/>
      <c r="DHK89"/>
      <c r="DHL89"/>
      <c r="DHM89"/>
      <c r="DHN89"/>
      <c r="DHO89"/>
      <c r="DHP89"/>
      <c r="DHQ89"/>
      <c r="DHR89"/>
      <c r="DHS89"/>
      <c r="DHT89"/>
      <c r="DHU89"/>
      <c r="DHV89"/>
      <c r="DHW89"/>
      <c r="DHX89"/>
      <c r="DHY89"/>
      <c r="DHZ89"/>
      <c r="DIA89"/>
      <c r="DIB89"/>
      <c r="DIC89"/>
      <c r="DID89"/>
      <c r="DIE89"/>
      <c r="DIF89"/>
      <c r="DIG89"/>
      <c r="DIH89"/>
      <c r="DII89"/>
      <c r="DIJ89"/>
      <c r="DIK89"/>
      <c r="DIL89"/>
      <c r="DIM89"/>
      <c r="DIN89"/>
      <c r="DIO89"/>
      <c r="DIP89"/>
      <c r="DIQ89"/>
      <c r="DIR89"/>
      <c r="DIS89"/>
      <c r="DIT89"/>
      <c r="DIU89"/>
      <c r="DIV89"/>
      <c r="DIW89"/>
      <c r="DIX89"/>
      <c r="DIY89"/>
      <c r="DIZ89"/>
      <c r="DJA89"/>
      <c r="DJB89"/>
      <c r="DJC89"/>
      <c r="DJD89"/>
      <c r="DJE89"/>
      <c r="DJF89"/>
      <c r="DJG89"/>
      <c r="DJH89"/>
      <c r="DJI89"/>
      <c r="DJJ89"/>
      <c r="DJK89"/>
      <c r="DJL89"/>
      <c r="DJM89"/>
      <c r="DJN89"/>
      <c r="DJO89"/>
      <c r="DJP89"/>
      <c r="DJQ89"/>
      <c r="DJR89"/>
      <c r="DJS89"/>
      <c r="DJT89"/>
      <c r="DJU89"/>
      <c r="DJV89"/>
      <c r="DJW89"/>
      <c r="DJX89"/>
      <c r="DJY89"/>
      <c r="DJZ89"/>
      <c r="DKA89"/>
      <c r="DKB89"/>
      <c r="DKC89"/>
      <c r="DKD89"/>
      <c r="DKE89"/>
      <c r="DKF89"/>
      <c r="DKG89"/>
      <c r="DKH89"/>
      <c r="DKI89"/>
      <c r="DKJ89"/>
      <c r="DKK89"/>
      <c r="DKL89"/>
      <c r="DKM89"/>
      <c r="DKN89"/>
      <c r="DKO89"/>
      <c r="DKP89"/>
      <c r="DKQ89"/>
      <c r="DKR89"/>
      <c r="DKS89"/>
      <c r="DKT89"/>
      <c r="DKU89"/>
      <c r="DKV89"/>
      <c r="DKW89"/>
      <c r="DKX89"/>
      <c r="DKY89"/>
      <c r="DKZ89"/>
      <c r="DLA89"/>
      <c r="DLB89"/>
      <c r="DLC89"/>
      <c r="DLD89"/>
      <c r="DLE89"/>
      <c r="DLF89"/>
      <c r="DLG89"/>
      <c r="DLH89"/>
      <c r="DLI89"/>
      <c r="DLJ89"/>
      <c r="DLK89"/>
      <c r="DLL89"/>
      <c r="DLM89"/>
      <c r="DLN89"/>
      <c r="DLO89"/>
      <c r="DLP89"/>
      <c r="DLQ89"/>
      <c r="DLR89"/>
      <c r="DLS89"/>
      <c r="DLT89"/>
      <c r="DLU89"/>
      <c r="DLV89"/>
      <c r="DLW89"/>
      <c r="DLX89"/>
      <c r="DLY89"/>
      <c r="DLZ89"/>
      <c r="DMA89"/>
      <c r="DMB89"/>
      <c r="DMC89"/>
      <c r="DMD89"/>
      <c r="DME89"/>
      <c r="DMF89"/>
      <c r="DMG89"/>
      <c r="DMH89"/>
      <c r="DMI89"/>
      <c r="DMJ89"/>
      <c r="DMK89"/>
      <c r="DML89"/>
      <c r="DMM89"/>
      <c r="DMN89"/>
      <c r="DMO89"/>
      <c r="DMP89"/>
      <c r="DMQ89"/>
      <c r="DMR89"/>
      <c r="DMS89"/>
      <c r="DMT89"/>
      <c r="DMU89"/>
      <c r="DMV89"/>
      <c r="DMW89"/>
      <c r="DMX89"/>
      <c r="DMY89"/>
      <c r="DMZ89"/>
      <c r="DNA89"/>
      <c r="DNB89"/>
      <c r="DNC89"/>
      <c r="DND89"/>
      <c r="DNE89"/>
      <c r="DNF89"/>
      <c r="DNG89"/>
      <c r="DNH89"/>
      <c r="DNI89"/>
      <c r="DNJ89"/>
      <c r="DNK89"/>
      <c r="DNL89"/>
      <c r="DNM89"/>
      <c r="DNN89"/>
      <c r="DNO89"/>
      <c r="DNP89"/>
      <c r="DNQ89"/>
      <c r="DNR89"/>
      <c r="DNS89"/>
      <c r="DNT89"/>
      <c r="DNU89"/>
      <c r="DNV89"/>
      <c r="DNW89"/>
      <c r="DNX89"/>
      <c r="DNY89"/>
      <c r="DNZ89"/>
      <c r="DOA89"/>
      <c r="DOB89"/>
      <c r="DOC89"/>
      <c r="DOD89"/>
      <c r="DOE89"/>
      <c r="DOF89"/>
      <c r="DOG89"/>
      <c r="DOH89"/>
      <c r="DOI89"/>
      <c r="DOJ89"/>
      <c r="DOK89"/>
      <c r="DOL89"/>
      <c r="DOM89"/>
      <c r="DON89"/>
      <c r="DOO89"/>
      <c r="DOP89"/>
      <c r="DOQ89"/>
      <c r="DOR89"/>
      <c r="DOS89"/>
      <c r="DOT89"/>
      <c r="DOU89"/>
      <c r="DOV89"/>
      <c r="DOW89"/>
      <c r="DOX89"/>
      <c r="DOY89"/>
      <c r="DOZ89"/>
      <c r="DPA89"/>
      <c r="DPB89"/>
      <c r="DPC89"/>
      <c r="DPD89"/>
      <c r="DPE89"/>
      <c r="DPF89"/>
      <c r="DPG89"/>
      <c r="DPH89"/>
      <c r="DPI89"/>
      <c r="DPJ89"/>
      <c r="DPK89"/>
      <c r="DPL89"/>
      <c r="DPM89"/>
      <c r="DPN89"/>
      <c r="DPO89"/>
      <c r="DPP89"/>
      <c r="DPQ89"/>
      <c r="DPR89"/>
      <c r="DPS89"/>
      <c r="DPT89"/>
      <c r="DPU89"/>
      <c r="DPV89"/>
      <c r="DPW89"/>
      <c r="DPX89"/>
      <c r="DPY89"/>
      <c r="DPZ89"/>
      <c r="DQA89"/>
      <c r="DQB89"/>
      <c r="DQC89"/>
      <c r="DQD89"/>
      <c r="DQE89"/>
      <c r="DQF89"/>
      <c r="DQG89"/>
      <c r="DQH89"/>
      <c r="DQI89"/>
      <c r="DQJ89"/>
      <c r="DQK89"/>
      <c r="DQL89"/>
      <c r="DQM89"/>
      <c r="DQN89"/>
      <c r="DQO89"/>
      <c r="DQP89"/>
      <c r="DQQ89"/>
      <c r="DQR89"/>
      <c r="DQS89"/>
      <c r="DQT89"/>
      <c r="DQU89"/>
      <c r="DQV89"/>
      <c r="DQW89"/>
      <c r="DQX89"/>
      <c r="DQY89"/>
      <c r="DQZ89"/>
      <c r="DRA89"/>
      <c r="DRB89"/>
      <c r="DRC89"/>
      <c r="DRD89"/>
      <c r="DRE89"/>
      <c r="DRF89"/>
      <c r="DRG89"/>
      <c r="DRH89"/>
      <c r="DRI89"/>
      <c r="DRJ89"/>
      <c r="DRK89"/>
      <c r="DRL89"/>
      <c r="DRM89"/>
      <c r="DRN89"/>
      <c r="DRO89"/>
      <c r="DRP89"/>
      <c r="DRQ89"/>
      <c r="DRR89"/>
      <c r="DRS89"/>
      <c r="DRT89"/>
      <c r="DRU89"/>
      <c r="DRV89"/>
      <c r="DRW89"/>
      <c r="DRX89"/>
      <c r="DRY89"/>
      <c r="DRZ89"/>
      <c r="DSA89"/>
      <c r="DSB89"/>
      <c r="DSC89"/>
      <c r="DSD89"/>
      <c r="DSE89"/>
      <c r="DSF89"/>
      <c r="DSG89"/>
      <c r="DSH89"/>
      <c r="DSI89"/>
      <c r="DSJ89"/>
      <c r="DSK89"/>
      <c r="DSL89"/>
      <c r="DSM89"/>
      <c r="DSN89"/>
      <c r="DSO89"/>
      <c r="DSP89"/>
      <c r="DSQ89"/>
      <c r="DSR89"/>
      <c r="DSS89"/>
      <c r="DST89"/>
      <c r="DSU89"/>
      <c r="DSV89"/>
      <c r="DSW89"/>
      <c r="DSX89"/>
      <c r="DSY89"/>
      <c r="DSZ89"/>
      <c r="DTA89"/>
      <c r="DTB89"/>
      <c r="DTC89"/>
      <c r="DTD89"/>
      <c r="DTE89"/>
      <c r="DTF89"/>
      <c r="DTG89"/>
      <c r="DTH89"/>
      <c r="DTI89"/>
      <c r="DTJ89"/>
      <c r="DTK89"/>
      <c r="DTL89"/>
      <c r="DTM89"/>
      <c r="DTN89"/>
      <c r="DTO89"/>
      <c r="DTP89"/>
      <c r="DTQ89"/>
      <c r="DTR89"/>
      <c r="DTS89"/>
      <c r="DTT89"/>
      <c r="DTU89"/>
      <c r="DTV89"/>
      <c r="DTW89"/>
      <c r="DTX89"/>
      <c r="DTY89"/>
      <c r="DTZ89"/>
      <c r="DUA89"/>
      <c r="DUB89"/>
      <c r="DUC89"/>
      <c r="DUD89"/>
      <c r="DUE89"/>
      <c r="DUF89"/>
      <c r="DUG89"/>
      <c r="DUH89"/>
      <c r="DUI89"/>
      <c r="DUJ89"/>
      <c r="DUK89"/>
      <c r="DUL89"/>
      <c r="DUM89"/>
      <c r="DUN89"/>
      <c r="DUO89"/>
      <c r="DUP89"/>
      <c r="DUQ89"/>
      <c r="DUR89"/>
      <c r="DUS89"/>
      <c r="DUT89"/>
      <c r="DUU89"/>
      <c r="DUV89"/>
      <c r="DUW89"/>
      <c r="DUX89"/>
      <c r="DUY89"/>
      <c r="DUZ89"/>
      <c r="DVA89"/>
      <c r="DVB89"/>
      <c r="DVC89"/>
      <c r="DVD89"/>
      <c r="DVE89"/>
      <c r="DVF89"/>
      <c r="DVG89"/>
      <c r="DVH89"/>
      <c r="DVI89"/>
      <c r="DVJ89"/>
      <c r="DVK89"/>
      <c r="DVL89"/>
      <c r="DVM89"/>
      <c r="DVN89"/>
      <c r="DVO89"/>
      <c r="DVP89"/>
      <c r="DVQ89"/>
      <c r="DVR89"/>
      <c r="DVS89"/>
      <c r="DVT89"/>
      <c r="DVU89"/>
      <c r="DVV89"/>
      <c r="DVW89"/>
      <c r="DVX89"/>
      <c r="DVY89"/>
      <c r="DVZ89"/>
      <c r="DWA89"/>
      <c r="DWB89"/>
      <c r="DWC89"/>
      <c r="DWD89"/>
      <c r="DWE89"/>
      <c r="DWF89"/>
      <c r="DWG89"/>
      <c r="DWH89"/>
      <c r="DWI89"/>
      <c r="DWJ89"/>
      <c r="DWK89"/>
      <c r="DWL89"/>
      <c r="DWM89"/>
      <c r="DWN89"/>
      <c r="DWO89"/>
      <c r="DWP89"/>
      <c r="DWQ89"/>
      <c r="DWR89"/>
      <c r="DWS89"/>
      <c r="DWT89"/>
      <c r="DWU89"/>
      <c r="DWV89"/>
      <c r="DWW89"/>
      <c r="DWX89"/>
      <c r="DWY89"/>
      <c r="DWZ89"/>
      <c r="DXA89"/>
      <c r="DXB89"/>
      <c r="DXC89"/>
      <c r="DXD89"/>
      <c r="DXE89"/>
      <c r="DXF89"/>
      <c r="DXG89"/>
      <c r="DXH89"/>
      <c r="DXI89"/>
      <c r="DXJ89"/>
      <c r="DXK89"/>
      <c r="DXL89"/>
      <c r="DXM89"/>
      <c r="DXN89"/>
      <c r="DXO89"/>
      <c r="DXP89"/>
      <c r="DXQ89"/>
      <c r="DXR89"/>
      <c r="DXS89"/>
      <c r="DXT89"/>
      <c r="DXU89"/>
      <c r="DXV89"/>
      <c r="DXW89"/>
      <c r="DXX89"/>
      <c r="DXY89"/>
      <c r="DXZ89"/>
      <c r="DYA89"/>
      <c r="DYB89"/>
      <c r="DYC89"/>
      <c r="DYD89"/>
      <c r="DYE89"/>
      <c r="DYF89"/>
      <c r="DYG89"/>
      <c r="DYH89"/>
      <c r="DYI89"/>
      <c r="DYJ89"/>
      <c r="DYK89"/>
      <c r="DYL89"/>
      <c r="DYM89"/>
      <c r="DYN89"/>
      <c r="DYO89"/>
      <c r="DYP89"/>
      <c r="DYQ89"/>
      <c r="DYR89"/>
      <c r="DYS89"/>
      <c r="DYT89"/>
      <c r="DYU89"/>
      <c r="DYV89"/>
      <c r="DYW89"/>
      <c r="DYX89"/>
      <c r="DYY89"/>
      <c r="DYZ89"/>
      <c r="DZA89"/>
      <c r="DZB89"/>
      <c r="DZC89"/>
      <c r="DZD89"/>
      <c r="DZE89"/>
      <c r="DZF89"/>
      <c r="DZG89"/>
      <c r="DZH89"/>
      <c r="DZI89"/>
      <c r="DZJ89"/>
      <c r="DZK89"/>
      <c r="DZL89"/>
      <c r="DZM89"/>
      <c r="DZN89"/>
      <c r="DZO89"/>
      <c r="DZP89"/>
      <c r="DZQ89"/>
      <c r="DZR89"/>
      <c r="DZS89"/>
      <c r="DZT89"/>
      <c r="DZU89"/>
      <c r="DZV89"/>
      <c r="DZW89"/>
      <c r="DZX89"/>
      <c r="DZY89"/>
      <c r="DZZ89"/>
      <c r="EAA89"/>
      <c r="EAB89"/>
      <c r="EAC89"/>
      <c r="EAD89"/>
      <c r="EAE89"/>
      <c r="EAF89"/>
      <c r="EAG89"/>
      <c r="EAH89"/>
      <c r="EAI89"/>
      <c r="EAJ89"/>
      <c r="EAK89"/>
      <c r="EAL89"/>
      <c r="EAM89"/>
      <c r="EAN89"/>
      <c r="EAO89"/>
      <c r="EAP89"/>
      <c r="EAQ89"/>
      <c r="EAR89"/>
      <c r="EAS89"/>
      <c r="EAT89"/>
      <c r="EAU89"/>
      <c r="EAV89"/>
      <c r="EAW89"/>
      <c r="EAX89"/>
      <c r="EAY89"/>
      <c r="EAZ89"/>
      <c r="EBA89"/>
      <c r="EBB89"/>
      <c r="EBC89"/>
      <c r="EBD89"/>
      <c r="EBE89"/>
      <c r="EBF89"/>
      <c r="EBG89"/>
      <c r="EBH89"/>
      <c r="EBI89"/>
      <c r="EBJ89"/>
      <c r="EBK89"/>
      <c r="EBL89"/>
      <c r="EBM89"/>
      <c r="EBN89"/>
      <c r="EBO89"/>
      <c r="EBP89"/>
      <c r="EBQ89"/>
      <c r="EBR89"/>
      <c r="EBS89"/>
      <c r="EBT89"/>
      <c r="EBU89"/>
      <c r="EBV89"/>
      <c r="EBW89"/>
      <c r="EBX89"/>
      <c r="EBY89"/>
      <c r="EBZ89"/>
      <c r="ECA89"/>
      <c r="ECB89"/>
      <c r="ECC89"/>
      <c r="ECD89"/>
      <c r="ECE89"/>
      <c r="ECF89"/>
      <c r="ECG89"/>
      <c r="ECH89"/>
      <c r="ECI89"/>
      <c r="ECJ89"/>
      <c r="ECK89"/>
      <c r="ECL89"/>
      <c r="ECM89"/>
      <c r="ECN89"/>
      <c r="ECO89"/>
      <c r="ECP89"/>
      <c r="ECQ89"/>
      <c r="ECR89"/>
      <c r="ECS89"/>
      <c r="ECT89"/>
      <c r="ECU89"/>
      <c r="ECV89"/>
      <c r="ECW89"/>
      <c r="ECX89"/>
      <c r="ECY89"/>
      <c r="ECZ89"/>
      <c r="EDA89"/>
      <c r="EDB89"/>
      <c r="EDC89"/>
      <c r="EDD89"/>
      <c r="EDE89"/>
      <c r="EDF89"/>
      <c r="EDG89"/>
      <c r="EDH89"/>
      <c r="EDI89"/>
      <c r="EDJ89"/>
      <c r="EDK89"/>
      <c r="EDL89"/>
      <c r="EDM89"/>
      <c r="EDN89"/>
      <c r="EDO89"/>
      <c r="EDP89"/>
      <c r="EDQ89"/>
      <c r="EDR89"/>
      <c r="EDS89"/>
      <c r="EDT89"/>
      <c r="EDU89"/>
      <c r="EDV89"/>
      <c r="EDW89"/>
      <c r="EDX89"/>
      <c r="EDY89"/>
      <c r="EDZ89"/>
      <c r="EEA89"/>
      <c r="EEB89"/>
      <c r="EEC89"/>
      <c r="EED89"/>
      <c r="EEE89"/>
      <c r="EEF89"/>
      <c r="EEG89"/>
      <c r="EEH89"/>
      <c r="EEI89"/>
      <c r="EEJ89"/>
      <c r="EEK89"/>
      <c r="EEL89"/>
      <c r="EEM89"/>
      <c r="EEN89"/>
      <c r="EEO89"/>
      <c r="EEP89"/>
      <c r="EEQ89"/>
      <c r="EER89"/>
      <c r="EES89"/>
      <c r="EET89"/>
      <c r="EEU89"/>
      <c r="EEV89"/>
      <c r="EEW89"/>
      <c r="EEX89"/>
      <c r="EEY89"/>
      <c r="EEZ89"/>
      <c r="EFA89"/>
      <c r="EFB89"/>
      <c r="EFC89"/>
      <c r="EFD89"/>
      <c r="EFE89"/>
      <c r="EFF89"/>
      <c r="EFG89"/>
      <c r="EFH89"/>
      <c r="EFI89"/>
      <c r="EFJ89"/>
      <c r="EFK89"/>
      <c r="EFL89"/>
      <c r="EFM89"/>
      <c r="EFN89"/>
      <c r="EFO89"/>
      <c r="EFP89"/>
      <c r="EFQ89"/>
      <c r="EFR89"/>
      <c r="EFS89"/>
      <c r="EFT89"/>
      <c r="EFU89"/>
      <c r="EFV89"/>
      <c r="EFW89"/>
      <c r="EFX89"/>
      <c r="EFY89"/>
      <c r="EFZ89"/>
      <c r="EGA89"/>
      <c r="EGB89"/>
      <c r="EGC89"/>
      <c r="EGD89"/>
      <c r="EGE89"/>
      <c r="EGF89"/>
      <c r="EGG89"/>
      <c r="EGH89"/>
      <c r="EGI89"/>
      <c r="EGJ89"/>
      <c r="EGK89"/>
      <c r="EGL89"/>
      <c r="EGM89"/>
      <c r="EGN89"/>
      <c r="EGO89"/>
      <c r="EGP89"/>
      <c r="EGQ89"/>
      <c r="EGR89"/>
      <c r="EGS89"/>
      <c r="EGT89"/>
      <c r="EGU89"/>
      <c r="EGV89"/>
      <c r="EGW89"/>
      <c r="EGX89"/>
      <c r="EGY89"/>
      <c r="EGZ89"/>
      <c r="EHA89"/>
      <c r="EHB89"/>
      <c r="EHC89"/>
      <c r="EHD89"/>
      <c r="EHE89"/>
      <c r="EHF89"/>
      <c r="EHG89"/>
      <c r="EHH89"/>
      <c r="EHI89"/>
      <c r="EHJ89"/>
      <c r="EHK89"/>
      <c r="EHL89"/>
      <c r="EHM89"/>
      <c r="EHN89"/>
      <c r="EHO89"/>
      <c r="EHP89"/>
      <c r="EHQ89"/>
      <c r="EHR89"/>
      <c r="EHS89"/>
      <c r="EHT89"/>
      <c r="EHU89"/>
      <c r="EHV89"/>
      <c r="EHW89"/>
      <c r="EHX89"/>
      <c r="EHY89"/>
      <c r="EHZ89"/>
      <c r="EIA89"/>
      <c r="EIB89"/>
      <c r="EIC89"/>
      <c r="EID89"/>
      <c r="EIE89"/>
      <c r="EIF89"/>
      <c r="EIG89"/>
      <c r="EIH89"/>
      <c r="EII89"/>
      <c r="EIJ89"/>
      <c r="EIK89"/>
      <c r="EIL89"/>
      <c r="EIM89"/>
      <c r="EIN89"/>
      <c r="EIO89"/>
      <c r="EIP89"/>
      <c r="EIQ89"/>
      <c r="EIR89"/>
      <c r="EIS89"/>
      <c r="EIT89"/>
      <c r="EIU89"/>
      <c r="EIV89"/>
      <c r="EIW89"/>
      <c r="EIX89"/>
      <c r="EIY89"/>
      <c r="EIZ89"/>
      <c r="EJA89"/>
      <c r="EJB89"/>
      <c r="EJC89"/>
      <c r="EJD89"/>
      <c r="EJE89"/>
      <c r="EJF89"/>
      <c r="EJG89"/>
      <c r="EJH89"/>
      <c r="EJI89"/>
      <c r="EJJ89"/>
      <c r="EJK89"/>
      <c r="EJL89"/>
      <c r="EJM89"/>
      <c r="EJN89"/>
      <c r="EJO89"/>
      <c r="EJP89"/>
      <c r="EJQ89"/>
      <c r="EJR89"/>
      <c r="EJS89"/>
      <c r="EJT89"/>
      <c r="EJU89"/>
      <c r="EJV89"/>
      <c r="EJW89"/>
      <c r="EJX89"/>
      <c r="EJY89"/>
      <c r="EJZ89"/>
      <c r="EKA89"/>
      <c r="EKB89"/>
      <c r="EKC89"/>
      <c r="EKD89"/>
      <c r="EKE89"/>
      <c r="EKF89"/>
      <c r="EKG89"/>
      <c r="EKH89"/>
      <c r="EKI89"/>
      <c r="EKJ89"/>
      <c r="EKK89"/>
      <c r="EKL89"/>
      <c r="EKM89"/>
      <c r="EKN89"/>
      <c r="EKO89"/>
      <c r="EKP89"/>
      <c r="EKQ89"/>
      <c r="EKR89"/>
      <c r="EKS89"/>
      <c r="EKT89"/>
      <c r="EKU89"/>
      <c r="EKV89"/>
      <c r="EKW89"/>
      <c r="EKX89"/>
      <c r="EKY89"/>
      <c r="EKZ89"/>
      <c r="ELA89"/>
      <c r="ELB89"/>
      <c r="ELC89"/>
      <c r="ELD89"/>
      <c r="ELE89"/>
      <c r="ELF89"/>
      <c r="ELG89"/>
      <c r="ELH89"/>
      <c r="ELI89"/>
      <c r="ELJ89"/>
      <c r="ELK89"/>
      <c r="ELL89"/>
      <c r="ELM89"/>
      <c r="ELN89"/>
      <c r="ELO89"/>
      <c r="ELP89"/>
      <c r="ELQ89"/>
      <c r="ELR89"/>
      <c r="ELS89"/>
      <c r="ELT89"/>
      <c r="ELU89"/>
      <c r="ELV89"/>
      <c r="ELW89"/>
      <c r="ELX89"/>
      <c r="ELY89"/>
      <c r="ELZ89"/>
      <c r="EMA89"/>
      <c r="EMB89"/>
      <c r="EMC89"/>
      <c r="EMD89"/>
      <c r="EME89"/>
      <c r="EMF89"/>
      <c r="EMG89"/>
      <c r="EMH89"/>
      <c r="EMI89"/>
      <c r="EMJ89"/>
      <c r="EMK89"/>
      <c r="EML89"/>
      <c r="EMM89"/>
      <c r="EMN89"/>
      <c r="EMO89"/>
      <c r="EMP89"/>
      <c r="EMQ89"/>
      <c r="EMR89"/>
      <c r="EMS89"/>
      <c r="EMT89"/>
      <c r="EMU89"/>
      <c r="EMV89"/>
      <c r="EMW89"/>
      <c r="EMX89"/>
      <c r="EMY89"/>
      <c r="EMZ89"/>
      <c r="ENA89"/>
      <c r="ENB89"/>
      <c r="ENC89"/>
      <c r="END89"/>
      <c r="ENE89"/>
      <c r="ENF89"/>
      <c r="ENG89"/>
      <c r="ENH89"/>
      <c r="ENI89"/>
      <c r="ENJ89"/>
      <c r="ENK89"/>
      <c r="ENL89"/>
      <c r="ENM89"/>
      <c r="ENN89"/>
      <c r="ENO89"/>
      <c r="ENP89"/>
      <c r="ENQ89"/>
      <c r="ENR89"/>
      <c r="ENS89"/>
      <c r="ENT89"/>
      <c r="ENU89"/>
      <c r="ENV89"/>
      <c r="ENW89"/>
      <c r="ENX89"/>
      <c r="ENY89"/>
      <c r="ENZ89"/>
      <c r="EOA89"/>
      <c r="EOB89"/>
      <c r="EOC89"/>
      <c r="EOD89"/>
      <c r="EOE89"/>
      <c r="EOF89"/>
      <c r="EOG89"/>
      <c r="EOH89"/>
      <c r="EOI89"/>
      <c r="EOJ89"/>
      <c r="EOK89"/>
      <c r="EOL89"/>
      <c r="EOM89"/>
      <c r="EON89"/>
      <c r="EOO89"/>
      <c r="EOP89"/>
      <c r="EOQ89"/>
      <c r="EOR89"/>
      <c r="EOS89"/>
      <c r="EOT89"/>
      <c r="EOU89"/>
      <c r="EOV89"/>
      <c r="EOW89"/>
      <c r="EOX89"/>
      <c r="EOY89"/>
      <c r="EOZ89"/>
      <c r="EPA89"/>
      <c r="EPB89"/>
      <c r="EPC89"/>
      <c r="EPD89"/>
      <c r="EPE89"/>
      <c r="EPF89"/>
      <c r="EPG89"/>
      <c r="EPH89"/>
      <c r="EPI89"/>
      <c r="EPJ89"/>
      <c r="EPK89"/>
      <c r="EPL89"/>
      <c r="EPM89"/>
      <c r="EPN89"/>
      <c r="EPO89"/>
      <c r="EPP89"/>
      <c r="EPQ89"/>
      <c r="EPR89"/>
      <c r="EPS89"/>
      <c r="EPT89"/>
      <c r="EPU89"/>
      <c r="EPV89"/>
      <c r="EPW89"/>
      <c r="EPX89"/>
      <c r="EPY89"/>
      <c r="EPZ89"/>
      <c r="EQA89"/>
      <c r="EQB89"/>
      <c r="EQC89"/>
      <c r="EQD89"/>
      <c r="EQE89"/>
      <c r="EQF89"/>
      <c r="EQG89"/>
      <c r="EQH89"/>
      <c r="EQI89"/>
      <c r="EQJ89"/>
      <c r="EQK89"/>
      <c r="EQL89"/>
      <c r="EQM89"/>
      <c r="EQN89"/>
      <c r="EQO89"/>
      <c r="EQP89"/>
      <c r="EQQ89"/>
      <c r="EQR89"/>
      <c r="EQS89"/>
      <c r="EQT89"/>
      <c r="EQU89"/>
      <c r="EQV89"/>
      <c r="EQW89"/>
      <c r="EQX89"/>
      <c r="EQY89"/>
      <c r="EQZ89"/>
      <c r="ERA89"/>
      <c r="ERB89"/>
      <c r="ERC89"/>
      <c r="ERD89"/>
      <c r="ERE89"/>
      <c r="ERF89"/>
      <c r="ERG89"/>
      <c r="ERH89"/>
      <c r="ERI89"/>
      <c r="ERJ89"/>
      <c r="ERK89"/>
      <c r="ERL89"/>
      <c r="ERM89"/>
      <c r="ERN89"/>
      <c r="ERO89"/>
      <c r="ERP89"/>
      <c r="ERQ89"/>
      <c r="ERR89"/>
      <c r="ERS89"/>
      <c r="ERT89"/>
      <c r="ERU89"/>
      <c r="ERV89"/>
      <c r="ERW89"/>
      <c r="ERX89"/>
      <c r="ERY89"/>
      <c r="ERZ89"/>
      <c r="ESA89"/>
      <c r="ESB89"/>
      <c r="ESC89"/>
      <c r="ESD89"/>
      <c r="ESE89"/>
      <c r="ESF89"/>
      <c r="ESG89"/>
      <c r="ESH89"/>
      <c r="ESI89"/>
      <c r="ESJ89"/>
      <c r="ESK89"/>
      <c r="ESL89"/>
      <c r="ESM89"/>
      <c r="ESN89"/>
      <c r="ESO89"/>
      <c r="ESP89"/>
      <c r="ESQ89"/>
      <c r="ESR89"/>
      <c r="ESS89"/>
      <c r="EST89"/>
      <c r="ESU89"/>
      <c r="ESV89"/>
      <c r="ESW89"/>
      <c r="ESX89"/>
      <c r="ESY89"/>
      <c r="ESZ89"/>
      <c r="ETA89"/>
      <c r="ETB89"/>
      <c r="ETC89"/>
      <c r="ETD89"/>
      <c r="ETE89"/>
      <c r="ETF89"/>
      <c r="ETG89"/>
      <c r="ETH89"/>
      <c r="ETI89"/>
      <c r="ETJ89"/>
      <c r="ETK89"/>
      <c r="ETL89"/>
      <c r="ETM89"/>
      <c r="ETN89"/>
      <c r="ETO89"/>
      <c r="ETP89"/>
      <c r="ETQ89"/>
      <c r="ETR89"/>
      <c r="ETS89"/>
      <c r="ETT89"/>
      <c r="ETU89"/>
      <c r="ETV89"/>
      <c r="ETW89"/>
      <c r="ETX89"/>
      <c r="ETY89"/>
      <c r="ETZ89"/>
      <c r="EUA89"/>
      <c r="EUB89"/>
      <c r="EUC89"/>
      <c r="EUD89"/>
      <c r="EUE89"/>
      <c r="EUF89"/>
      <c r="EUG89"/>
      <c r="EUH89"/>
      <c r="EUI89"/>
      <c r="EUJ89"/>
      <c r="EUK89"/>
      <c r="EUL89"/>
      <c r="EUM89"/>
      <c r="EUN89"/>
      <c r="EUO89"/>
      <c r="EUP89"/>
      <c r="EUQ89"/>
      <c r="EUR89"/>
      <c r="EUS89"/>
      <c r="EUT89"/>
      <c r="EUU89"/>
      <c r="EUV89"/>
      <c r="EUW89"/>
      <c r="EUX89"/>
      <c r="EUY89"/>
      <c r="EUZ89"/>
      <c r="EVA89"/>
      <c r="EVB89"/>
      <c r="EVC89"/>
      <c r="EVD89"/>
      <c r="EVE89"/>
      <c r="EVF89"/>
      <c r="EVG89"/>
      <c r="EVH89"/>
      <c r="EVI89"/>
      <c r="EVJ89"/>
      <c r="EVK89"/>
      <c r="EVL89"/>
      <c r="EVM89"/>
      <c r="EVN89"/>
      <c r="EVO89"/>
      <c r="EVP89"/>
      <c r="EVQ89"/>
      <c r="EVR89"/>
      <c r="EVS89"/>
      <c r="EVT89"/>
      <c r="EVU89"/>
      <c r="EVV89"/>
      <c r="EVW89"/>
      <c r="EVX89"/>
      <c r="EVY89"/>
      <c r="EVZ89"/>
      <c r="EWA89"/>
      <c r="EWB89"/>
      <c r="EWC89"/>
      <c r="EWD89"/>
      <c r="EWE89"/>
      <c r="EWF89"/>
      <c r="EWG89"/>
      <c r="EWH89"/>
      <c r="EWI89"/>
      <c r="EWJ89"/>
      <c r="EWK89"/>
      <c r="EWL89"/>
      <c r="EWM89"/>
      <c r="EWN89"/>
      <c r="EWO89"/>
      <c r="EWP89"/>
      <c r="EWQ89"/>
      <c r="EWR89"/>
      <c r="EWS89"/>
      <c r="EWT89"/>
      <c r="EWU89"/>
      <c r="EWV89"/>
      <c r="EWW89"/>
      <c r="EWX89"/>
      <c r="EWY89"/>
      <c r="EWZ89"/>
      <c r="EXA89"/>
      <c r="EXB89"/>
      <c r="EXC89"/>
      <c r="EXD89"/>
      <c r="EXE89"/>
      <c r="EXF89"/>
      <c r="EXG89"/>
      <c r="EXH89"/>
      <c r="EXI89"/>
      <c r="EXJ89"/>
      <c r="EXK89"/>
      <c r="EXL89"/>
      <c r="EXM89"/>
      <c r="EXN89"/>
      <c r="EXO89"/>
      <c r="EXP89"/>
      <c r="EXQ89"/>
      <c r="EXR89"/>
      <c r="EXS89"/>
      <c r="EXT89"/>
      <c r="EXU89"/>
      <c r="EXV89"/>
      <c r="EXW89"/>
      <c r="EXX89"/>
      <c r="EXY89"/>
      <c r="EXZ89"/>
      <c r="EYA89"/>
      <c r="EYB89"/>
      <c r="EYC89"/>
      <c r="EYD89"/>
      <c r="EYE89"/>
      <c r="EYF89"/>
      <c r="EYG89"/>
      <c r="EYH89"/>
      <c r="EYI89"/>
      <c r="EYJ89"/>
      <c r="EYK89"/>
      <c r="EYL89"/>
      <c r="EYM89"/>
      <c r="EYN89"/>
      <c r="EYO89"/>
      <c r="EYP89"/>
      <c r="EYQ89"/>
      <c r="EYR89"/>
      <c r="EYS89"/>
      <c r="EYT89"/>
      <c r="EYU89"/>
      <c r="EYV89"/>
      <c r="EYW89"/>
      <c r="EYX89"/>
      <c r="EYY89"/>
      <c r="EYZ89"/>
      <c r="EZA89"/>
      <c r="EZB89"/>
      <c r="EZC89"/>
      <c r="EZD89"/>
      <c r="EZE89"/>
      <c r="EZF89"/>
      <c r="EZG89"/>
      <c r="EZH89"/>
      <c r="EZI89"/>
      <c r="EZJ89"/>
      <c r="EZK89"/>
      <c r="EZL89"/>
      <c r="EZM89"/>
      <c r="EZN89"/>
      <c r="EZO89"/>
      <c r="EZP89"/>
      <c r="EZQ89"/>
      <c r="EZR89"/>
      <c r="EZS89"/>
      <c r="EZT89"/>
      <c r="EZU89"/>
      <c r="EZV89"/>
      <c r="EZW89"/>
      <c r="EZX89"/>
      <c r="EZY89"/>
      <c r="EZZ89"/>
      <c r="FAA89"/>
      <c r="FAB89"/>
      <c r="FAC89"/>
      <c r="FAD89"/>
      <c r="FAE89"/>
      <c r="FAF89"/>
      <c r="FAG89"/>
      <c r="FAH89"/>
      <c r="FAI89"/>
      <c r="FAJ89"/>
      <c r="FAK89"/>
      <c r="FAL89"/>
      <c r="FAM89"/>
      <c r="FAN89"/>
      <c r="FAO89"/>
      <c r="FAP89"/>
      <c r="FAQ89"/>
      <c r="FAR89"/>
      <c r="FAS89"/>
      <c r="FAT89"/>
      <c r="FAU89"/>
      <c r="FAV89"/>
      <c r="FAW89"/>
      <c r="FAX89"/>
      <c r="FAY89"/>
      <c r="FAZ89"/>
      <c r="FBA89"/>
      <c r="FBB89"/>
      <c r="FBC89"/>
      <c r="FBD89"/>
      <c r="FBE89"/>
      <c r="FBF89"/>
      <c r="FBG89"/>
      <c r="FBH89"/>
      <c r="FBI89"/>
      <c r="FBJ89"/>
      <c r="FBK89"/>
      <c r="FBL89"/>
      <c r="FBM89"/>
      <c r="FBN89"/>
      <c r="FBO89"/>
      <c r="FBP89"/>
      <c r="FBQ89"/>
      <c r="FBR89"/>
      <c r="FBS89"/>
      <c r="FBT89"/>
      <c r="FBU89"/>
      <c r="FBV89"/>
      <c r="FBW89"/>
      <c r="FBX89"/>
      <c r="FBY89"/>
      <c r="FBZ89"/>
      <c r="FCA89"/>
      <c r="FCB89"/>
      <c r="FCC89"/>
      <c r="FCD89"/>
      <c r="FCE89"/>
      <c r="FCF89"/>
      <c r="FCG89"/>
      <c r="FCH89"/>
      <c r="FCI89"/>
      <c r="FCJ89"/>
      <c r="FCK89"/>
      <c r="FCL89"/>
      <c r="FCM89"/>
      <c r="FCN89"/>
      <c r="FCO89"/>
      <c r="FCP89"/>
      <c r="FCQ89"/>
      <c r="FCR89"/>
      <c r="FCS89"/>
      <c r="FCT89"/>
      <c r="FCU89"/>
      <c r="FCV89"/>
      <c r="FCW89"/>
      <c r="FCX89"/>
      <c r="FCY89"/>
      <c r="FCZ89"/>
      <c r="FDA89"/>
      <c r="FDB89"/>
      <c r="FDC89"/>
      <c r="FDD89"/>
      <c r="FDE89"/>
      <c r="FDF89"/>
      <c r="FDG89"/>
      <c r="FDH89"/>
      <c r="FDI89"/>
      <c r="FDJ89"/>
      <c r="FDK89"/>
      <c r="FDL89"/>
      <c r="FDM89"/>
      <c r="FDN89"/>
      <c r="FDO89"/>
      <c r="FDP89"/>
      <c r="FDQ89"/>
      <c r="FDR89"/>
      <c r="FDS89"/>
      <c r="FDT89"/>
      <c r="FDU89"/>
      <c r="FDV89"/>
      <c r="FDW89"/>
      <c r="FDX89"/>
      <c r="FDY89"/>
      <c r="FDZ89"/>
      <c r="FEA89"/>
      <c r="FEB89"/>
      <c r="FEC89"/>
      <c r="FED89"/>
      <c r="FEE89"/>
      <c r="FEF89"/>
      <c r="FEG89"/>
      <c r="FEH89"/>
      <c r="FEI89"/>
      <c r="FEJ89"/>
      <c r="FEK89"/>
      <c r="FEL89"/>
      <c r="FEM89"/>
      <c r="FEN89"/>
      <c r="FEO89"/>
      <c r="FEP89"/>
      <c r="FEQ89"/>
      <c r="FER89"/>
      <c r="FES89"/>
      <c r="FET89"/>
      <c r="FEU89"/>
      <c r="FEV89"/>
      <c r="FEW89"/>
      <c r="FEX89"/>
      <c r="FEY89"/>
      <c r="FEZ89"/>
      <c r="FFA89"/>
      <c r="FFB89"/>
      <c r="FFC89"/>
      <c r="FFD89"/>
      <c r="FFE89"/>
      <c r="FFF89"/>
      <c r="FFG89"/>
      <c r="FFH89"/>
      <c r="FFI89"/>
      <c r="FFJ89"/>
      <c r="FFK89"/>
      <c r="FFL89"/>
      <c r="FFM89"/>
      <c r="FFN89"/>
      <c r="FFO89"/>
      <c r="FFP89"/>
      <c r="FFQ89"/>
      <c r="FFR89"/>
      <c r="FFS89"/>
      <c r="FFT89"/>
      <c r="FFU89"/>
      <c r="FFV89"/>
      <c r="FFW89"/>
      <c r="FFX89"/>
      <c r="FFY89"/>
      <c r="FFZ89"/>
      <c r="FGA89"/>
      <c r="FGB89"/>
      <c r="FGC89"/>
      <c r="FGD89"/>
      <c r="FGE89"/>
      <c r="FGF89"/>
      <c r="FGG89"/>
      <c r="FGH89"/>
      <c r="FGI89"/>
      <c r="FGJ89"/>
      <c r="FGK89"/>
      <c r="FGL89"/>
      <c r="FGM89"/>
      <c r="FGN89"/>
      <c r="FGO89"/>
      <c r="FGP89"/>
      <c r="FGQ89"/>
      <c r="FGR89"/>
      <c r="FGS89"/>
      <c r="FGT89"/>
      <c r="FGU89"/>
      <c r="FGV89"/>
      <c r="FGW89"/>
      <c r="FGX89"/>
      <c r="FGY89"/>
      <c r="FGZ89"/>
      <c r="FHA89"/>
      <c r="FHB89"/>
      <c r="FHC89"/>
      <c r="FHD89"/>
      <c r="FHE89"/>
      <c r="FHF89"/>
      <c r="FHG89"/>
      <c r="FHH89"/>
      <c r="FHI89"/>
      <c r="FHJ89"/>
      <c r="FHK89"/>
      <c r="FHL89"/>
      <c r="FHM89"/>
      <c r="FHN89"/>
      <c r="FHO89"/>
      <c r="FHP89"/>
      <c r="FHQ89"/>
      <c r="FHR89"/>
      <c r="FHS89"/>
      <c r="FHT89"/>
      <c r="FHU89"/>
      <c r="FHV89"/>
      <c r="FHW89"/>
      <c r="FHX89"/>
      <c r="FHY89"/>
      <c r="FHZ89"/>
      <c r="FIA89"/>
      <c r="FIB89"/>
      <c r="FIC89"/>
      <c r="FID89"/>
      <c r="FIE89"/>
      <c r="FIF89"/>
      <c r="FIG89"/>
      <c r="FIH89"/>
      <c r="FII89"/>
      <c r="FIJ89"/>
      <c r="FIK89"/>
      <c r="FIL89"/>
      <c r="FIM89"/>
      <c r="FIN89"/>
      <c r="FIO89"/>
      <c r="FIP89"/>
      <c r="FIQ89"/>
      <c r="FIR89"/>
      <c r="FIS89"/>
      <c r="FIT89"/>
      <c r="FIU89"/>
      <c r="FIV89"/>
      <c r="FIW89"/>
      <c r="FIX89"/>
      <c r="FIY89"/>
      <c r="FIZ89"/>
      <c r="FJA89"/>
      <c r="FJB89"/>
      <c r="FJC89"/>
      <c r="FJD89"/>
      <c r="FJE89"/>
      <c r="FJF89"/>
      <c r="FJG89"/>
      <c r="FJH89"/>
      <c r="FJI89"/>
      <c r="FJJ89"/>
      <c r="FJK89"/>
      <c r="FJL89"/>
      <c r="FJM89"/>
      <c r="FJN89"/>
      <c r="FJO89"/>
      <c r="FJP89"/>
      <c r="FJQ89"/>
      <c r="FJR89"/>
      <c r="FJS89"/>
      <c r="FJT89"/>
      <c r="FJU89"/>
      <c r="FJV89"/>
      <c r="FJW89"/>
      <c r="FJX89"/>
      <c r="FJY89"/>
      <c r="FJZ89"/>
      <c r="FKA89"/>
      <c r="FKB89"/>
      <c r="FKC89"/>
      <c r="FKD89"/>
      <c r="FKE89"/>
      <c r="FKF89"/>
      <c r="FKG89"/>
      <c r="FKH89"/>
      <c r="FKI89"/>
      <c r="FKJ89"/>
      <c r="FKK89"/>
      <c r="FKL89"/>
      <c r="FKM89"/>
      <c r="FKN89"/>
      <c r="FKO89"/>
      <c r="FKP89"/>
      <c r="FKQ89"/>
      <c r="FKR89"/>
      <c r="FKS89"/>
      <c r="FKT89"/>
      <c r="FKU89"/>
      <c r="FKV89"/>
      <c r="FKW89"/>
      <c r="FKX89"/>
      <c r="FKY89"/>
      <c r="FKZ89"/>
      <c r="FLA89"/>
      <c r="FLB89"/>
      <c r="FLC89"/>
      <c r="FLD89"/>
      <c r="FLE89"/>
      <c r="FLF89"/>
      <c r="FLG89"/>
      <c r="FLH89"/>
      <c r="FLI89"/>
      <c r="FLJ89"/>
      <c r="FLK89"/>
      <c r="FLL89"/>
      <c r="FLM89"/>
      <c r="FLN89"/>
      <c r="FLO89"/>
      <c r="FLP89"/>
      <c r="FLQ89"/>
      <c r="FLR89"/>
      <c r="FLS89"/>
      <c r="FLT89"/>
      <c r="FLU89"/>
      <c r="FLV89"/>
      <c r="FLW89"/>
      <c r="FLX89"/>
      <c r="FLY89"/>
      <c r="FLZ89"/>
      <c r="FMA89"/>
      <c r="FMB89"/>
      <c r="FMC89"/>
      <c r="FMD89"/>
      <c r="FME89"/>
      <c r="FMF89"/>
      <c r="FMG89"/>
      <c r="FMH89"/>
      <c r="FMI89"/>
      <c r="FMJ89"/>
      <c r="FMK89"/>
      <c r="FML89"/>
      <c r="FMM89"/>
      <c r="FMN89"/>
      <c r="FMO89"/>
      <c r="FMP89"/>
      <c r="FMQ89"/>
      <c r="FMR89"/>
      <c r="FMS89"/>
      <c r="FMT89"/>
      <c r="FMU89"/>
      <c r="FMV89"/>
      <c r="FMW89"/>
      <c r="FMX89"/>
      <c r="FMY89"/>
      <c r="FMZ89"/>
      <c r="FNA89"/>
      <c r="FNB89"/>
      <c r="FNC89"/>
      <c r="FND89"/>
      <c r="FNE89"/>
      <c r="FNF89"/>
      <c r="FNG89"/>
      <c r="FNH89"/>
      <c r="FNI89"/>
      <c r="FNJ89"/>
      <c r="FNK89"/>
      <c r="FNL89"/>
      <c r="FNM89"/>
      <c r="FNN89"/>
      <c r="FNO89"/>
      <c r="FNP89"/>
      <c r="FNQ89"/>
      <c r="FNR89"/>
      <c r="FNS89"/>
      <c r="FNT89"/>
      <c r="FNU89"/>
      <c r="FNV89"/>
      <c r="FNW89"/>
      <c r="FNX89"/>
      <c r="FNY89"/>
      <c r="FNZ89"/>
      <c r="FOA89"/>
      <c r="FOB89"/>
      <c r="FOC89"/>
      <c r="FOD89"/>
      <c r="FOE89"/>
      <c r="FOF89"/>
      <c r="FOG89"/>
      <c r="FOH89"/>
      <c r="FOI89"/>
      <c r="FOJ89"/>
      <c r="FOK89"/>
      <c r="FOL89"/>
      <c r="FOM89"/>
      <c r="FON89"/>
      <c r="FOO89"/>
      <c r="FOP89"/>
      <c r="FOQ89"/>
      <c r="FOR89"/>
      <c r="FOS89"/>
      <c r="FOT89"/>
      <c r="FOU89"/>
      <c r="FOV89"/>
      <c r="FOW89"/>
      <c r="FOX89"/>
      <c r="FOY89"/>
      <c r="FOZ89"/>
      <c r="FPA89"/>
      <c r="FPB89"/>
      <c r="FPC89"/>
      <c r="FPD89"/>
      <c r="FPE89"/>
      <c r="FPF89"/>
      <c r="FPG89"/>
      <c r="FPH89"/>
      <c r="FPI89"/>
      <c r="FPJ89"/>
      <c r="FPK89"/>
      <c r="FPL89"/>
      <c r="FPM89"/>
      <c r="FPN89"/>
      <c r="FPO89"/>
      <c r="FPP89"/>
      <c r="FPQ89"/>
      <c r="FPR89"/>
      <c r="FPS89"/>
      <c r="FPT89"/>
      <c r="FPU89"/>
      <c r="FPV89"/>
      <c r="FPW89"/>
      <c r="FPX89"/>
      <c r="FPY89"/>
      <c r="FPZ89"/>
      <c r="FQA89"/>
      <c r="FQB89"/>
      <c r="FQC89"/>
      <c r="FQD89"/>
      <c r="FQE89"/>
      <c r="FQF89"/>
      <c r="FQG89"/>
      <c r="FQH89"/>
      <c r="FQI89"/>
      <c r="FQJ89"/>
      <c r="FQK89"/>
      <c r="FQL89"/>
      <c r="FQM89"/>
      <c r="FQN89"/>
      <c r="FQO89"/>
      <c r="FQP89"/>
      <c r="FQQ89"/>
      <c r="FQR89"/>
      <c r="FQS89"/>
      <c r="FQT89"/>
      <c r="FQU89"/>
      <c r="FQV89"/>
      <c r="FQW89"/>
      <c r="FQX89"/>
      <c r="FQY89"/>
      <c r="FQZ89"/>
      <c r="FRA89"/>
      <c r="FRB89"/>
      <c r="FRC89"/>
      <c r="FRD89"/>
      <c r="FRE89"/>
      <c r="FRF89"/>
      <c r="FRG89"/>
      <c r="FRH89"/>
      <c r="FRI89"/>
      <c r="FRJ89"/>
      <c r="FRK89"/>
      <c r="FRL89"/>
      <c r="FRM89"/>
      <c r="FRN89"/>
      <c r="FRO89"/>
      <c r="FRP89"/>
      <c r="FRQ89"/>
      <c r="FRR89"/>
      <c r="FRS89"/>
      <c r="FRT89"/>
      <c r="FRU89"/>
      <c r="FRV89"/>
      <c r="FRW89"/>
      <c r="FRX89"/>
      <c r="FRY89"/>
      <c r="FRZ89"/>
      <c r="FSA89"/>
      <c r="FSB89"/>
      <c r="FSC89"/>
      <c r="FSD89"/>
      <c r="FSE89"/>
      <c r="FSF89"/>
      <c r="FSG89"/>
      <c r="FSH89"/>
      <c r="FSI89"/>
      <c r="FSJ89"/>
      <c r="FSK89"/>
      <c r="FSL89"/>
      <c r="FSM89"/>
      <c r="FSN89"/>
      <c r="FSO89"/>
      <c r="FSP89"/>
      <c r="FSQ89"/>
      <c r="FSR89"/>
      <c r="FSS89"/>
      <c r="FST89"/>
      <c r="FSU89"/>
      <c r="FSV89"/>
      <c r="FSW89"/>
      <c r="FSX89"/>
      <c r="FSY89"/>
      <c r="FSZ89"/>
      <c r="FTA89"/>
      <c r="FTB89"/>
      <c r="FTC89"/>
      <c r="FTD89"/>
      <c r="FTE89"/>
      <c r="FTF89"/>
      <c r="FTG89"/>
      <c r="FTH89"/>
      <c r="FTI89"/>
      <c r="FTJ89"/>
      <c r="FTK89"/>
      <c r="FTL89"/>
      <c r="FTM89"/>
      <c r="FTN89"/>
      <c r="FTO89"/>
      <c r="FTP89"/>
      <c r="FTQ89"/>
      <c r="FTR89"/>
      <c r="FTS89"/>
      <c r="FTT89"/>
      <c r="FTU89"/>
      <c r="FTV89"/>
      <c r="FTW89"/>
      <c r="FTX89"/>
      <c r="FTY89"/>
      <c r="FTZ89"/>
      <c r="FUA89"/>
      <c r="FUB89"/>
      <c r="FUC89"/>
      <c r="FUD89"/>
      <c r="FUE89"/>
      <c r="FUF89"/>
      <c r="FUG89"/>
      <c r="FUH89"/>
      <c r="FUI89"/>
      <c r="FUJ89"/>
      <c r="FUK89"/>
      <c r="FUL89"/>
      <c r="FUM89"/>
      <c r="FUN89"/>
      <c r="FUO89"/>
      <c r="FUP89"/>
      <c r="FUQ89"/>
      <c r="FUR89"/>
      <c r="FUS89"/>
      <c r="FUT89"/>
      <c r="FUU89"/>
      <c r="FUV89"/>
      <c r="FUW89"/>
      <c r="FUX89"/>
      <c r="FUY89"/>
      <c r="FUZ89"/>
      <c r="FVA89"/>
      <c r="FVB89"/>
      <c r="FVC89"/>
      <c r="FVD89"/>
      <c r="FVE89"/>
      <c r="FVF89"/>
      <c r="FVG89"/>
      <c r="FVH89"/>
      <c r="FVI89"/>
      <c r="FVJ89"/>
      <c r="FVK89"/>
      <c r="FVL89"/>
      <c r="FVM89"/>
      <c r="FVN89"/>
      <c r="FVO89"/>
      <c r="FVP89"/>
      <c r="FVQ89"/>
      <c r="FVR89"/>
      <c r="FVS89"/>
      <c r="FVT89"/>
      <c r="FVU89"/>
      <c r="FVV89"/>
      <c r="FVW89"/>
      <c r="FVX89"/>
      <c r="FVY89"/>
      <c r="FVZ89"/>
      <c r="FWA89"/>
      <c r="FWB89"/>
      <c r="FWC89"/>
      <c r="FWD89"/>
      <c r="FWE89"/>
      <c r="FWF89"/>
      <c r="FWG89"/>
      <c r="FWH89"/>
      <c r="FWI89"/>
      <c r="FWJ89"/>
      <c r="FWK89"/>
      <c r="FWL89"/>
      <c r="FWM89"/>
      <c r="FWN89"/>
      <c r="FWO89"/>
      <c r="FWP89"/>
      <c r="FWQ89"/>
      <c r="FWR89"/>
      <c r="FWS89"/>
      <c r="FWT89"/>
      <c r="FWU89"/>
      <c r="FWV89"/>
      <c r="FWW89"/>
      <c r="FWX89"/>
      <c r="FWY89"/>
      <c r="FWZ89"/>
      <c r="FXA89"/>
      <c r="FXB89"/>
      <c r="FXC89"/>
      <c r="FXD89"/>
      <c r="FXE89"/>
      <c r="FXF89"/>
      <c r="FXG89"/>
      <c r="FXH89"/>
      <c r="FXI89"/>
      <c r="FXJ89"/>
      <c r="FXK89"/>
      <c r="FXL89"/>
      <c r="FXM89"/>
      <c r="FXN89"/>
      <c r="FXO89"/>
      <c r="FXP89"/>
      <c r="FXQ89"/>
      <c r="FXR89"/>
      <c r="FXS89"/>
      <c r="FXT89"/>
      <c r="FXU89"/>
      <c r="FXV89"/>
      <c r="FXW89"/>
      <c r="FXX89"/>
      <c r="FXY89"/>
      <c r="FXZ89"/>
      <c r="FYA89"/>
      <c r="FYB89"/>
      <c r="FYC89"/>
      <c r="FYD89"/>
      <c r="FYE89"/>
      <c r="FYF89"/>
      <c r="FYG89"/>
      <c r="FYH89"/>
      <c r="FYI89"/>
      <c r="FYJ89"/>
      <c r="FYK89"/>
      <c r="FYL89"/>
      <c r="FYM89"/>
      <c r="FYN89"/>
      <c r="FYO89"/>
      <c r="FYP89"/>
      <c r="FYQ89"/>
      <c r="FYR89"/>
      <c r="FYS89"/>
      <c r="FYT89"/>
      <c r="FYU89"/>
      <c r="FYV89"/>
      <c r="FYW89"/>
      <c r="FYX89"/>
      <c r="FYY89"/>
      <c r="FYZ89"/>
      <c r="FZA89"/>
      <c r="FZB89"/>
      <c r="FZC89"/>
      <c r="FZD89"/>
      <c r="FZE89"/>
      <c r="FZF89"/>
      <c r="FZG89"/>
      <c r="FZH89"/>
      <c r="FZI89"/>
      <c r="FZJ89"/>
      <c r="FZK89"/>
      <c r="FZL89"/>
      <c r="FZM89"/>
      <c r="FZN89"/>
      <c r="FZO89"/>
      <c r="FZP89"/>
      <c r="FZQ89"/>
      <c r="FZR89"/>
      <c r="FZS89"/>
      <c r="FZT89"/>
      <c r="FZU89"/>
      <c r="FZV89"/>
      <c r="FZW89"/>
      <c r="FZX89"/>
      <c r="FZY89"/>
      <c r="FZZ89"/>
      <c r="GAA89"/>
      <c r="GAB89"/>
      <c r="GAC89"/>
      <c r="GAD89"/>
      <c r="GAE89"/>
      <c r="GAF89"/>
      <c r="GAG89"/>
      <c r="GAH89"/>
      <c r="GAI89"/>
      <c r="GAJ89"/>
      <c r="GAK89"/>
      <c r="GAL89"/>
      <c r="GAM89"/>
      <c r="GAN89"/>
      <c r="GAO89"/>
      <c r="GAP89"/>
      <c r="GAQ89"/>
      <c r="GAR89"/>
      <c r="GAS89"/>
      <c r="GAT89"/>
      <c r="GAU89"/>
      <c r="GAV89"/>
      <c r="GAW89"/>
      <c r="GAX89"/>
      <c r="GAY89"/>
      <c r="GAZ89"/>
      <c r="GBA89"/>
      <c r="GBB89"/>
      <c r="GBC89"/>
      <c r="GBD89"/>
      <c r="GBE89"/>
      <c r="GBF89"/>
      <c r="GBG89"/>
      <c r="GBH89"/>
      <c r="GBI89"/>
      <c r="GBJ89"/>
      <c r="GBK89"/>
      <c r="GBL89"/>
      <c r="GBM89"/>
      <c r="GBN89"/>
      <c r="GBO89"/>
      <c r="GBP89"/>
      <c r="GBQ89"/>
      <c r="GBR89"/>
      <c r="GBS89"/>
      <c r="GBT89"/>
      <c r="GBU89"/>
      <c r="GBV89"/>
      <c r="GBW89"/>
      <c r="GBX89"/>
      <c r="GBY89"/>
      <c r="GBZ89"/>
      <c r="GCA89"/>
      <c r="GCB89"/>
      <c r="GCC89"/>
      <c r="GCD89"/>
      <c r="GCE89"/>
      <c r="GCF89"/>
      <c r="GCG89"/>
      <c r="GCH89"/>
      <c r="GCI89"/>
      <c r="GCJ89"/>
      <c r="GCK89"/>
      <c r="GCL89"/>
      <c r="GCM89"/>
      <c r="GCN89"/>
      <c r="GCO89"/>
      <c r="GCP89"/>
      <c r="GCQ89"/>
      <c r="GCR89"/>
      <c r="GCS89"/>
      <c r="GCT89"/>
      <c r="GCU89"/>
      <c r="GCV89"/>
      <c r="GCW89"/>
      <c r="GCX89"/>
      <c r="GCY89"/>
      <c r="GCZ89"/>
      <c r="GDA89"/>
      <c r="GDB89"/>
      <c r="GDC89"/>
      <c r="GDD89"/>
      <c r="GDE89"/>
      <c r="GDF89"/>
      <c r="GDG89"/>
      <c r="GDH89"/>
      <c r="GDI89"/>
      <c r="GDJ89"/>
      <c r="GDK89"/>
      <c r="GDL89"/>
      <c r="GDM89"/>
      <c r="GDN89"/>
      <c r="GDO89"/>
      <c r="GDP89"/>
      <c r="GDQ89"/>
      <c r="GDR89"/>
      <c r="GDS89"/>
      <c r="GDT89"/>
      <c r="GDU89"/>
      <c r="GDV89"/>
      <c r="GDW89"/>
      <c r="GDX89"/>
      <c r="GDY89"/>
      <c r="GDZ89"/>
      <c r="GEA89"/>
      <c r="GEB89"/>
      <c r="GEC89"/>
      <c r="GED89"/>
      <c r="GEE89"/>
      <c r="GEF89"/>
      <c r="GEG89"/>
      <c r="GEH89"/>
      <c r="GEI89"/>
      <c r="GEJ89"/>
      <c r="GEK89"/>
      <c r="GEL89"/>
      <c r="GEM89"/>
      <c r="GEN89"/>
      <c r="GEO89"/>
      <c r="GEP89"/>
      <c r="GEQ89"/>
      <c r="GER89"/>
      <c r="GES89"/>
      <c r="GET89"/>
      <c r="GEU89"/>
      <c r="GEV89"/>
      <c r="GEW89"/>
      <c r="GEX89"/>
      <c r="GEY89"/>
      <c r="GEZ89"/>
      <c r="GFA89"/>
      <c r="GFB89"/>
      <c r="GFC89"/>
      <c r="GFD89"/>
      <c r="GFE89"/>
      <c r="GFF89"/>
      <c r="GFG89"/>
      <c r="GFH89"/>
      <c r="GFI89"/>
      <c r="GFJ89"/>
      <c r="GFK89"/>
      <c r="GFL89"/>
      <c r="GFM89"/>
      <c r="GFN89"/>
      <c r="GFO89"/>
      <c r="GFP89"/>
      <c r="GFQ89"/>
      <c r="GFR89"/>
      <c r="GFS89"/>
      <c r="GFT89"/>
      <c r="GFU89"/>
      <c r="GFV89"/>
      <c r="GFW89"/>
      <c r="GFX89"/>
      <c r="GFY89"/>
      <c r="GFZ89"/>
      <c r="GGA89"/>
      <c r="GGB89"/>
      <c r="GGC89"/>
      <c r="GGD89"/>
      <c r="GGE89"/>
      <c r="GGF89"/>
      <c r="GGG89"/>
      <c r="GGH89"/>
      <c r="GGI89"/>
      <c r="GGJ89"/>
      <c r="GGK89"/>
      <c r="GGL89"/>
      <c r="GGM89"/>
      <c r="GGN89"/>
      <c r="GGO89"/>
      <c r="GGP89"/>
      <c r="GGQ89"/>
      <c r="GGR89"/>
      <c r="GGS89"/>
      <c r="GGT89"/>
      <c r="GGU89"/>
      <c r="GGV89"/>
      <c r="GGW89"/>
      <c r="GGX89"/>
      <c r="GGY89"/>
      <c r="GGZ89"/>
      <c r="GHA89"/>
      <c r="GHB89"/>
      <c r="GHC89"/>
      <c r="GHD89"/>
      <c r="GHE89"/>
      <c r="GHF89"/>
      <c r="GHG89"/>
      <c r="GHH89"/>
      <c r="GHI89"/>
      <c r="GHJ89"/>
      <c r="GHK89"/>
      <c r="GHL89"/>
      <c r="GHM89"/>
      <c r="GHN89"/>
      <c r="GHO89"/>
      <c r="GHP89"/>
      <c r="GHQ89"/>
      <c r="GHR89"/>
      <c r="GHS89"/>
      <c r="GHT89"/>
      <c r="GHU89"/>
      <c r="GHV89"/>
      <c r="GHW89"/>
      <c r="GHX89"/>
      <c r="GHY89"/>
      <c r="GHZ89"/>
      <c r="GIA89"/>
      <c r="GIB89"/>
      <c r="GIC89"/>
      <c r="GID89"/>
      <c r="GIE89"/>
      <c r="GIF89"/>
      <c r="GIG89"/>
      <c r="GIH89"/>
      <c r="GII89"/>
      <c r="GIJ89"/>
      <c r="GIK89"/>
      <c r="GIL89"/>
      <c r="GIM89"/>
      <c r="GIN89"/>
      <c r="GIO89"/>
      <c r="GIP89"/>
      <c r="GIQ89"/>
      <c r="GIR89"/>
      <c r="GIS89"/>
      <c r="GIT89"/>
      <c r="GIU89"/>
      <c r="GIV89"/>
      <c r="GIW89"/>
      <c r="GIX89"/>
      <c r="GIY89"/>
      <c r="GIZ89"/>
      <c r="GJA89"/>
      <c r="GJB89"/>
      <c r="GJC89"/>
      <c r="GJD89"/>
      <c r="GJE89"/>
      <c r="GJF89"/>
      <c r="GJG89"/>
      <c r="GJH89"/>
      <c r="GJI89"/>
      <c r="GJJ89"/>
      <c r="GJK89"/>
      <c r="GJL89"/>
      <c r="GJM89"/>
      <c r="GJN89"/>
      <c r="GJO89"/>
      <c r="GJP89"/>
      <c r="GJQ89"/>
      <c r="GJR89"/>
      <c r="GJS89"/>
      <c r="GJT89"/>
      <c r="GJU89"/>
      <c r="GJV89"/>
      <c r="GJW89"/>
      <c r="GJX89"/>
      <c r="GJY89"/>
      <c r="GJZ89"/>
      <c r="GKA89"/>
      <c r="GKB89"/>
      <c r="GKC89"/>
      <c r="GKD89"/>
      <c r="GKE89"/>
      <c r="GKF89"/>
      <c r="GKG89"/>
      <c r="GKH89"/>
      <c r="GKI89"/>
      <c r="GKJ89"/>
      <c r="GKK89"/>
      <c r="GKL89"/>
      <c r="GKM89"/>
      <c r="GKN89"/>
      <c r="GKO89"/>
      <c r="GKP89"/>
      <c r="GKQ89"/>
      <c r="GKR89"/>
      <c r="GKS89"/>
      <c r="GKT89"/>
      <c r="GKU89"/>
      <c r="GKV89"/>
      <c r="GKW89"/>
      <c r="GKX89"/>
      <c r="GKY89"/>
      <c r="GKZ89"/>
      <c r="GLA89"/>
      <c r="GLB89"/>
      <c r="GLC89"/>
      <c r="GLD89"/>
      <c r="GLE89"/>
      <c r="GLF89"/>
      <c r="GLG89"/>
      <c r="GLH89"/>
      <c r="GLI89"/>
      <c r="GLJ89"/>
      <c r="GLK89"/>
      <c r="GLL89"/>
      <c r="GLM89"/>
      <c r="GLN89"/>
      <c r="GLO89"/>
      <c r="GLP89"/>
      <c r="GLQ89"/>
      <c r="GLR89"/>
      <c r="GLS89"/>
      <c r="GLT89"/>
      <c r="GLU89"/>
      <c r="GLV89"/>
      <c r="GLW89"/>
      <c r="GLX89"/>
      <c r="GLY89"/>
      <c r="GLZ89"/>
      <c r="GMA89"/>
      <c r="GMB89"/>
      <c r="GMC89"/>
      <c r="GMD89"/>
      <c r="GME89"/>
      <c r="GMF89"/>
      <c r="GMG89"/>
      <c r="GMH89"/>
      <c r="GMI89"/>
      <c r="GMJ89"/>
      <c r="GMK89"/>
      <c r="GML89"/>
      <c r="GMM89"/>
      <c r="GMN89"/>
      <c r="GMO89"/>
      <c r="GMP89"/>
      <c r="GMQ89"/>
      <c r="GMR89"/>
      <c r="GMS89"/>
      <c r="GMT89"/>
      <c r="GMU89"/>
      <c r="GMV89"/>
      <c r="GMW89"/>
      <c r="GMX89"/>
      <c r="GMY89"/>
      <c r="GMZ89"/>
      <c r="GNA89"/>
      <c r="GNB89"/>
      <c r="GNC89"/>
      <c r="GND89"/>
      <c r="GNE89"/>
      <c r="GNF89"/>
      <c r="GNG89"/>
      <c r="GNH89"/>
      <c r="GNI89"/>
      <c r="GNJ89"/>
      <c r="GNK89"/>
      <c r="GNL89"/>
      <c r="GNM89"/>
      <c r="GNN89"/>
      <c r="GNO89"/>
      <c r="GNP89"/>
      <c r="GNQ89"/>
      <c r="GNR89"/>
      <c r="GNS89"/>
      <c r="GNT89"/>
      <c r="GNU89"/>
      <c r="GNV89"/>
      <c r="GNW89"/>
      <c r="GNX89"/>
      <c r="GNY89"/>
      <c r="GNZ89"/>
      <c r="GOA89"/>
      <c r="GOB89"/>
      <c r="GOC89"/>
      <c r="GOD89"/>
      <c r="GOE89"/>
      <c r="GOF89"/>
      <c r="GOG89"/>
      <c r="GOH89"/>
      <c r="GOI89"/>
      <c r="GOJ89"/>
      <c r="GOK89"/>
      <c r="GOL89"/>
      <c r="GOM89"/>
      <c r="GON89"/>
      <c r="GOO89"/>
      <c r="GOP89"/>
      <c r="GOQ89"/>
      <c r="GOR89"/>
      <c r="GOS89"/>
      <c r="GOT89"/>
      <c r="GOU89"/>
      <c r="GOV89"/>
      <c r="GOW89"/>
      <c r="GOX89"/>
      <c r="GOY89"/>
      <c r="GOZ89"/>
      <c r="GPA89"/>
      <c r="GPB89"/>
      <c r="GPC89"/>
      <c r="GPD89"/>
      <c r="GPE89"/>
      <c r="GPF89"/>
      <c r="GPG89"/>
      <c r="GPH89"/>
      <c r="GPI89"/>
      <c r="GPJ89"/>
      <c r="GPK89"/>
      <c r="GPL89"/>
      <c r="GPM89"/>
      <c r="GPN89"/>
      <c r="GPO89"/>
      <c r="GPP89"/>
      <c r="GPQ89"/>
      <c r="GPR89"/>
      <c r="GPS89"/>
      <c r="GPT89"/>
      <c r="GPU89"/>
      <c r="GPV89"/>
      <c r="GPW89"/>
      <c r="GPX89"/>
      <c r="GPY89"/>
      <c r="GPZ89"/>
      <c r="GQA89"/>
      <c r="GQB89"/>
      <c r="GQC89"/>
      <c r="GQD89"/>
      <c r="GQE89"/>
      <c r="GQF89"/>
      <c r="GQG89"/>
      <c r="GQH89"/>
      <c r="GQI89"/>
      <c r="GQJ89"/>
      <c r="GQK89"/>
      <c r="GQL89"/>
      <c r="GQM89"/>
      <c r="GQN89"/>
      <c r="GQO89"/>
      <c r="GQP89"/>
      <c r="GQQ89"/>
      <c r="GQR89"/>
      <c r="GQS89"/>
      <c r="GQT89"/>
      <c r="GQU89"/>
      <c r="GQV89"/>
      <c r="GQW89"/>
      <c r="GQX89"/>
      <c r="GQY89"/>
      <c r="GQZ89"/>
      <c r="GRA89"/>
      <c r="GRB89"/>
      <c r="GRC89"/>
      <c r="GRD89"/>
      <c r="GRE89"/>
      <c r="GRF89"/>
      <c r="GRG89"/>
      <c r="GRH89"/>
      <c r="GRI89"/>
      <c r="GRJ89"/>
      <c r="GRK89"/>
      <c r="GRL89"/>
      <c r="GRM89"/>
      <c r="GRN89"/>
      <c r="GRO89"/>
      <c r="GRP89"/>
      <c r="GRQ89"/>
      <c r="GRR89"/>
      <c r="GRS89"/>
      <c r="GRT89"/>
      <c r="GRU89"/>
      <c r="GRV89"/>
      <c r="GRW89"/>
      <c r="GRX89"/>
      <c r="GRY89"/>
      <c r="GRZ89"/>
      <c r="GSA89"/>
      <c r="GSB89"/>
      <c r="GSC89"/>
      <c r="GSD89"/>
      <c r="GSE89"/>
      <c r="GSF89"/>
      <c r="GSG89"/>
      <c r="GSH89"/>
      <c r="GSI89"/>
      <c r="GSJ89"/>
      <c r="GSK89"/>
      <c r="GSL89"/>
      <c r="GSM89"/>
      <c r="GSN89"/>
      <c r="GSO89"/>
      <c r="GSP89"/>
      <c r="GSQ89"/>
      <c r="GSR89"/>
      <c r="GSS89"/>
      <c r="GST89"/>
      <c r="GSU89"/>
      <c r="GSV89"/>
      <c r="GSW89"/>
      <c r="GSX89"/>
      <c r="GSY89"/>
      <c r="GSZ89"/>
      <c r="GTA89"/>
      <c r="GTB89"/>
      <c r="GTC89"/>
      <c r="GTD89"/>
      <c r="GTE89"/>
      <c r="GTF89"/>
      <c r="GTG89"/>
      <c r="GTH89"/>
      <c r="GTI89"/>
      <c r="GTJ89"/>
      <c r="GTK89"/>
      <c r="GTL89"/>
      <c r="GTM89"/>
      <c r="GTN89"/>
      <c r="GTO89"/>
      <c r="GTP89"/>
      <c r="GTQ89"/>
      <c r="GTR89"/>
      <c r="GTS89"/>
      <c r="GTT89"/>
      <c r="GTU89"/>
      <c r="GTV89"/>
      <c r="GTW89"/>
      <c r="GTX89"/>
      <c r="GTY89"/>
      <c r="GTZ89"/>
      <c r="GUA89"/>
      <c r="GUB89"/>
      <c r="GUC89"/>
      <c r="GUD89"/>
      <c r="GUE89"/>
      <c r="GUF89"/>
      <c r="GUG89"/>
      <c r="GUH89"/>
      <c r="GUI89"/>
      <c r="GUJ89"/>
      <c r="GUK89"/>
      <c r="GUL89"/>
      <c r="GUM89"/>
      <c r="GUN89"/>
      <c r="GUO89"/>
      <c r="GUP89"/>
      <c r="GUQ89"/>
      <c r="GUR89"/>
      <c r="GUS89"/>
      <c r="GUT89"/>
      <c r="GUU89"/>
      <c r="GUV89"/>
      <c r="GUW89"/>
      <c r="GUX89"/>
      <c r="GUY89"/>
      <c r="GUZ89"/>
      <c r="GVA89"/>
      <c r="GVB89"/>
      <c r="GVC89"/>
      <c r="GVD89"/>
      <c r="GVE89"/>
      <c r="GVF89"/>
      <c r="GVG89"/>
      <c r="GVH89"/>
      <c r="GVI89"/>
      <c r="GVJ89"/>
      <c r="GVK89"/>
      <c r="GVL89"/>
      <c r="GVM89"/>
      <c r="GVN89"/>
      <c r="GVO89"/>
      <c r="GVP89"/>
      <c r="GVQ89"/>
      <c r="GVR89"/>
      <c r="GVS89"/>
      <c r="GVT89"/>
      <c r="GVU89"/>
      <c r="GVV89"/>
      <c r="GVW89"/>
      <c r="GVX89"/>
      <c r="GVY89"/>
      <c r="GVZ89"/>
      <c r="GWA89"/>
      <c r="GWB89"/>
      <c r="GWC89"/>
      <c r="GWD89"/>
      <c r="GWE89"/>
      <c r="GWF89"/>
      <c r="GWG89"/>
      <c r="GWH89"/>
      <c r="GWI89"/>
      <c r="GWJ89"/>
      <c r="GWK89"/>
      <c r="GWL89"/>
      <c r="GWM89"/>
      <c r="GWN89"/>
      <c r="GWO89"/>
      <c r="GWP89"/>
      <c r="GWQ89"/>
      <c r="GWR89"/>
      <c r="GWS89"/>
      <c r="GWT89"/>
      <c r="GWU89"/>
      <c r="GWV89"/>
      <c r="GWW89"/>
      <c r="GWX89"/>
      <c r="GWY89"/>
      <c r="GWZ89"/>
      <c r="GXA89"/>
      <c r="GXB89"/>
      <c r="GXC89"/>
      <c r="GXD89"/>
      <c r="GXE89"/>
      <c r="GXF89"/>
      <c r="GXG89"/>
      <c r="GXH89"/>
      <c r="GXI89"/>
      <c r="GXJ89"/>
      <c r="GXK89"/>
      <c r="GXL89"/>
      <c r="GXM89"/>
      <c r="GXN89"/>
      <c r="GXO89"/>
      <c r="GXP89"/>
      <c r="GXQ89"/>
      <c r="GXR89"/>
      <c r="GXS89"/>
      <c r="GXT89"/>
      <c r="GXU89"/>
      <c r="GXV89"/>
      <c r="GXW89"/>
      <c r="GXX89"/>
      <c r="GXY89"/>
      <c r="GXZ89"/>
      <c r="GYA89"/>
      <c r="GYB89"/>
      <c r="GYC89"/>
      <c r="GYD89"/>
      <c r="GYE89"/>
      <c r="GYF89"/>
      <c r="GYG89"/>
      <c r="GYH89"/>
      <c r="GYI89"/>
      <c r="GYJ89"/>
      <c r="GYK89"/>
      <c r="GYL89"/>
      <c r="GYM89"/>
      <c r="GYN89"/>
      <c r="GYO89"/>
      <c r="GYP89"/>
      <c r="GYQ89"/>
      <c r="GYR89"/>
      <c r="GYS89"/>
      <c r="GYT89"/>
      <c r="GYU89"/>
      <c r="GYV89"/>
      <c r="GYW89"/>
      <c r="GYX89"/>
      <c r="GYY89"/>
      <c r="GYZ89"/>
      <c r="GZA89"/>
      <c r="GZB89"/>
      <c r="GZC89"/>
      <c r="GZD89"/>
      <c r="GZE89"/>
      <c r="GZF89"/>
      <c r="GZG89"/>
      <c r="GZH89"/>
      <c r="GZI89"/>
      <c r="GZJ89"/>
      <c r="GZK89"/>
      <c r="GZL89"/>
      <c r="GZM89"/>
      <c r="GZN89"/>
      <c r="GZO89"/>
      <c r="GZP89"/>
      <c r="GZQ89"/>
      <c r="GZR89"/>
      <c r="GZS89"/>
      <c r="GZT89"/>
      <c r="GZU89"/>
      <c r="GZV89"/>
      <c r="GZW89"/>
      <c r="GZX89"/>
      <c r="GZY89"/>
      <c r="GZZ89"/>
      <c r="HAA89"/>
      <c r="HAB89"/>
      <c r="HAC89"/>
      <c r="HAD89"/>
      <c r="HAE89"/>
      <c r="HAF89"/>
      <c r="HAG89"/>
      <c r="HAH89"/>
      <c r="HAI89"/>
      <c r="HAJ89"/>
      <c r="HAK89"/>
      <c r="HAL89"/>
      <c r="HAM89"/>
      <c r="HAN89"/>
      <c r="HAO89"/>
      <c r="HAP89"/>
      <c r="HAQ89"/>
      <c r="HAR89"/>
      <c r="HAS89"/>
      <c r="HAT89"/>
      <c r="HAU89"/>
      <c r="HAV89"/>
      <c r="HAW89"/>
      <c r="HAX89"/>
      <c r="HAY89"/>
      <c r="HAZ89"/>
      <c r="HBA89"/>
      <c r="HBB89"/>
      <c r="HBC89"/>
      <c r="HBD89"/>
      <c r="HBE89"/>
      <c r="HBF89"/>
      <c r="HBG89"/>
      <c r="HBH89"/>
      <c r="HBI89"/>
      <c r="HBJ89"/>
      <c r="HBK89"/>
      <c r="HBL89"/>
      <c r="HBM89"/>
      <c r="HBN89"/>
      <c r="HBO89"/>
      <c r="HBP89"/>
      <c r="HBQ89"/>
      <c r="HBR89"/>
      <c r="HBS89"/>
      <c r="HBT89"/>
      <c r="HBU89"/>
      <c r="HBV89"/>
      <c r="HBW89"/>
      <c r="HBX89"/>
      <c r="HBY89"/>
      <c r="HBZ89"/>
      <c r="HCA89"/>
      <c r="HCB89"/>
      <c r="HCC89"/>
      <c r="HCD89"/>
      <c r="HCE89"/>
      <c r="HCF89"/>
      <c r="HCG89"/>
      <c r="HCH89"/>
      <c r="HCI89"/>
      <c r="HCJ89"/>
      <c r="HCK89"/>
      <c r="HCL89"/>
      <c r="HCM89"/>
      <c r="HCN89"/>
      <c r="HCO89"/>
      <c r="HCP89"/>
      <c r="HCQ89"/>
      <c r="HCR89"/>
      <c r="HCS89"/>
      <c r="HCT89"/>
      <c r="HCU89"/>
      <c r="HCV89"/>
      <c r="HCW89"/>
      <c r="HCX89"/>
      <c r="HCY89"/>
      <c r="HCZ89"/>
      <c r="HDA89"/>
      <c r="HDB89"/>
      <c r="HDC89"/>
      <c r="HDD89"/>
      <c r="HDE89"/>
      <c r="HDF89"/>
      <c r="HDG89"/>
      <c r="HDH89"/>
      <c r="HDI89"/>
      <c r="HDJ89"/>
      <c r="HDK89"/>
      <c r="HDL89"/>
      <c r="HDM89"/>
      <c r="HDN89"/>
      <c r="HDO89"/>
      <c r="HDP89"/>
      <c r="HDQ89"/>
      <c r="HDR89"/>
      <c r="HDS89"/>
      <c r="HDT89"/>
      <c r="HDU89"/>
      <c r="HDV89"/>
      <c r="HDW89"/>
      <c r="HDX89"/>
      <c r="HDY89"/>
      <c r="HDZ89"/>
      <c r="HEA89"/>
      <c r="HEB89"/>
      <c r="HEC89"/>
      <c r="HED89"/>
      <c r="HEE89"/>
      <c r="HEF89"/>
      <c r="HEG89"/>
      <c r="HEH89"/>
      <c r="HEI89"/>
      <c r="HEJ89"/>
      <c r="HEK89"/>
      <c r="HEL89"/>
      <c r="HEM89"/>
      <c r="HEN89"/>
      <c r="HEO89"/>
      <c r="HEP89"/>
      <c r="HEQ89"/>
      <c r="HER89"/>
      <c r="HES89"/>
      <c r="HET89"/>
      <c r="HEU89"/>
      <c r="HEV89"/>
      <c r="HEW89"/>
      <c r="HEX89"/>
      <c r="HEY89"/>
      <c r="HEZ89"/>
      <c r="HFA89"/>
      <c r="HFB89"/>
      <c r="HFC89"/>
      <c r="HFD89"/>
      <c r="HFE89"/>
      <c r="HFF89"/>
      <c r="HFG89"/>
      <c r="HFH89"/>
      <c r="HFI89"/>
      <c r="HFJ89"/>
      <c r="HFK89"/>
      <c r="HFL89"/>
      <c r="HFM89"/>
      <c r="HFN89"/>
      <c r="HFO89"/>
      <c r="HFP89"/>
      <c r="HFQ89"/>
      <c r="HFR89"/>
      <c r="HFS89"/>
      <c r="HFT89"/>
      <c r="HFU89"/>
      <c r="HFV89"/>
      <c r="HFW89"/>
      <c r="HFX89"/>
      <c r="HFY89"/>
      <c r="HFZ89"/>
      <c r="HGA89"/>
      <c r="HGB89"/>
      <c r="HGC89"/>
      <c r="HGD89"/>
      <c r="HGE89"/>
      <c r="HGF89"/>
      <c r="HGG89"/>
      <c r="HGH89"/>
      <c r="HGI89"/>
      <c r="HGJ89"/>
      <c r="HGK89"/>
      <c r="HGL89"/>
      <c r="HGM89"/>
      <c r="HGN89"/>
      <c r="HGO89"/>
      <c r="HGP89"/>
      <c r="HGQ89"/>
      <c r="HGR89"/>
      <c r="HGS89"/>
      <c r="HGT89"/>
      <c r="HGU89"/>
      <c r="HGV89"/>
      <c r="HGW89"/>
      <c r="HGX89"/>
      <c r="HGY89"/>
      <c r="HGZ89"/>
      <c r="HHA89"/>
      <c r="HHB89"/>
      <c r="HHC89"/>
      <c r="HHD89"/>
      <c r="HHE89"/>
      <c r="HHF89"/>
      <c r="HHG89"/>
      <c r="HHH89"/>
      <c r="HHI89"/>
      <c r="HHJ89"/>
      <c r="HHK89"/>
      <c r="HHL89"/>
      <c r="HHM89"/>
      <c r="HHN89"/>
      <c r="HHO89"/>
      <c r="HHP89"/>
      <c r="HHQ89"/>
      <c r="HHR89"/>
      <c r="HHS89"/>
      <c r="HHT89"/>
      <c r="HHU89"/>
      <c r="HHV89"/>
      <c r="HHW89"/>
      <c r="HHX89"/>
      <c r="HHY89"/>
      <c r="HHZ89"/>
      <c r="HIA89"/>
      <c r="HIB89"/>
      <c r="HIC89"/>
      <c r="HID89"/>
      <c r="HIE89"/>
      <c r="HIF89"/>
      <c r="HIG89"/>
      <c r="HIH89"/>
      <c r="HII89"/>
      <c r="HIJ89"/>
      <c r="HIK89"/>
      <c r="HIL89"/>
      <c r="HIM89"/>
      <c r="HIN89"/>
      <c r="HIO89"/>
      <c r="HIP89"/>
      <c r="HIQ89"/>
      <c r="HIR89"/>
      <c r="HIS89"/>
      <c r="HIT89"/>
      <c r="HIU89"/>
      <c r="HIV89"/>
      <c r="HIW89"/>
      <c r="HIX89"/>
      <c r="HIY89"/>
      <c r="HIZ89"/>
      <c r="HJA89"/>
      <c r="HJB89"/>
      <c r="HJC89"/>
      <c r="HJD89"/>
      <c r="HJE89"/>
      <c r="HJF89"/>
      <c r="HJG89"/>
      <c r="HJH89"/>
      <c r="HJI89"/>
      <c r="HJJ89"/>
      <c r="HJK89"/>
      <c r="HJL89"/>
      <c r="HJM89"/>
      <c r="HJN89"/>
      <c r="HJO89"/>
      <c r="HJP89"/>
      <c r="HJQ89"/>
      <c r="HJR89"/>
      <c r="HJS89"/>
      <c r="HJT89"/>
      <c r="HJU89"/>
      <c r="HJV89"/>
      <c r="HJW89"/>
      <c r="HJX89"/>
      <c r="HJY89"/>
      <c r="HJZ89"/>
      <c r="HKA89"/>
      <c r="HKB89"/>
      <c r="HKC89"/>
      <c r="HKD89"/>
      <c r="HKE89"/>
      <c r="HKF89"/>
      <c r="HKG89"/>
      <c r="HKH89"/>
      <c r="HKI89"/>
      <c r="HKJ89"/>
      <c r="HKK89"/>
      <c r="HKL89"/>
      <c r="HKM89"/>
      <c r="HKN89"/>
      <c r="HKO89"/>
      <c r="HKP89"/>
      <c r="HKQ89"/>
      <c r="HKR89"/>
      <c r="HKS89"/>
      <c r="HKT89"/>
      <c r="HKU89"/>
      <c r="HKV89"/>
      <c r="HKW89"/>
      <c r="HKX89"/>
      <c r="HKY89"/>
      <c r="HKZ89"/>
      <c r="HLA89"/>
      <c r="HLB89"/>
      <c r="HLC89"/>
      <c r="HLD89"/>
      <c r="HLE89"/>
      <c r="HLF89"/>
      <c r="HLG89"/>
      <c r="HLH89"/>
      <c r="HLI89"/>
      <c r="HLJ89"/>
      <c r="HLK89"/>
      <c r="HLL89"/>
      <c r="HLM89"/>
      <c r="HLN89"/>
      <c r="HLO89"/>
      <c r="HLP89"/>
      <c r="HLQ89"/>
      <c r="HLR89"/>
      <c r="HLS89"/>
      <c r="HLT89"/>
      <c r="HLU89"/>
      <c r="HLV89"/>
      <c r="HLW89"/>
      <c r="HLX89"/>
      <c r="HLY89"/>
      <c r="HLZ89"/>
      <c r="HMA89"/>
      <c r="HMB89"/>
      <c r="HMC89"/>
      <c r="HMD89"/>
      <c r="HME89"/>
      <c r="HMF89"/>
      <c r="HMG89"/>
      <c r="HMH89"/>
      <c r="HMI89"/>
      <c r="HMJ89"/>
      <c r="HMK89"/>
      <c r="HML89"/>
      <c r="HMM89"/>
      <c r="HMN89"/>
      <c r="HMO89"/>
      <c r="HMP89"/>
      <c r="HMQ89"/>
      <c r="HMR89"/>
      <c r="HMS89"/>
      <c r="HMT89"/>
      <c r="HMU89"/>
      <c r="HMV89"/>
      <c r="HMW89"/>
      <c r="HMX89"/>
      <c r="HMY89"/>
      <c r="HMZ89"/>
      <c r="HNA89"/>
      <c r="HNB89"/>
      <c r="HNC89"/>
      <c r="HND89"/>
      <c r="HNE89"/>
      <c r="HNF89"/>
      <c r="HNG89"/>
      <c r="HNH89"/>
      <c r="HNI89"/>
      <c r="HNJ89"/>
      <c r="HNK89"/>
      <c r="HNL89"/>
      <c r="HNM89"/>
      <c r="HNN89"/>
      <c r="HNO89"/>
      <c r="HNP89"/>
      <c r="HNQ89"/>
      <c r="HNR89"/>
      <c r="HNS89"/>
      <c r="HNT89"/>
      <c r="HNU89"/>
      <c r="HNV89"/>
      <c r="HNW89"/>
      <c r="HNX89"/>
      <c r="HNY89"/>
      <c r="HNZ89"/>
      <c r="HOA89"/>
      <c r="HOB89"/>
      <c r="HOC89"/>
      <c r="HOD89"/>
      <c r="HOE89"/>
      <c r="HOF89"/>
      <c r="HOG89"/>
      <c r="HOH89"/>
      <c r="HOI89"/>
      <c r="HOJ89"/>
      <c r="HOK89"/>
      <c r="HOL89"/>
      <c r="HOM89"/>
      <c r="HON89"/>
      <c r="HOO89"/>
      <c r="HOP89"/>
      <c r="HOQ89"/>
      <c r="HOR89"/>
      <c r="HOS89"/>
      <c r="HOT89"/>
      <c r="HOU89"/>
      <c r="HOV89"/>
      <c r="HOW89"/>
      <c r="HOX89"/>
      <c r="HOY89"/>
      <c r="HOZ89"/>
      <c r="HPA89"/>
      <c r="HPB89"/>
      <c r="HPC89"/>
      <c r="HPD89"/>
      <c r="HPE89"/>
      <c r="HPF89"/>
      <c r="HPG89"/>
      <c r="HPH89"/>
      <c r="HPI89"/>
      <c r="HPJ89"/>
      <c r="HPK89"/>
      <c r="HPL89"/>
      <c r="HPM89"/>
      <c r="HPN89"/>
      <c r="HPO89"/>
      <c r="HPP89"/>
      <c r="HPQ89"/>
      <c r="HPR89"/>
      <c r="HPS89"/>
      <c r="HPT89"/>
      <c r="HPU89"/>
      <c r="HPV89"/>
      <c r="HPW89"/>
      <c r="HPX89"/>
      <c r="HPY89"/>
      <c r="HPZ89"/>
      <c r="HQA89"/>
      <c r="HQB89"/>
      <c r="HQC89"/>
      <c r="HQD89"/>
      <c r="HQE89"/>
      <c r="HQF89"/>
      <c r="HQG89"/>
      <c r="HQH89"/>
      <c r="HQI89"/>
      <c r="HQJ89"/>
      <c r="HQK89"/>
      <c r="HQL89"/>
      <c r="HQM89"/>
      <c r="HQN89"/>
      <c r="HQO89"/>
      <c r="HQP89"/>
      <c r="HQQ89"/>
      <c r="HQR89"/>
      <c r="HQS89"/>
      <c r="HQT89"/>
      <c r="HQU89"/>
      <c r="HQV89"/>
      <c r="HQW89"/>
      <c r="HQX89"/>
      <c r="HQY89"/>
      <c r="HQZ89"/>
      <c r="HRA89"/>
      <c r="HRB89"/>
      <c r="HRC89"/>
      <c r="HRD89"/>
      <c r="HRE89"/>
      <c r="HRF89"/>
      <c r="HRG89"/>
      <c r="HRH89"/>
      <c r="HRI89"/>
      <c r="HRJ89"/>
      <c r="HRK89"/>
      <c r="HRL89"/>
      <c r="HRM89"/>
      <c r="HRN89"/>
      <c r="HRO89"/>
      <c r="HRP89"/>
      <c r="HRQ89"/>
      <c r="HRR89"/>
      <c r="HRS89"/>
      <c r="HRT89"/>
      <c r="HRU89"/>
      <c r="HRV89"/>
      <c r="HRW89"/>
      <c r="HRX89"/>
      <c r="HRY89"/>
      <c r="HRZ89"/>
      <c r="HSA89"/>
      <c r="HSB89"/>
      <c r="HSC89"/>
      <c r="HSD89"/>
      <c r="HSE89"/>
      <c r="HSF89"/>
      <c r="HSG89"/>
      <c r="HSH89"/>
      <c r="HSI89"/>
      <c r="HSJ89"/>
      <c r="HSK89"/>
      <c r="HSL89"/>
      <c r="HSM89"/>
      <c r="HSN89"/>
      <c r="HSO89"/>
      <c r="HSP89"/>
      <c r="HSQ89"/>
      <c r="HSR89"/>
      <c r="HSS89"/>
      <c r="HST89"/>
      <c r="HSU89"/>
      <c r="HSV89"/>
      <c r="HSW89"/>
      <c r="HSX89"/>
      <c r="HSY89"/>
      <c r="HSZ89"/>
      <c r="HTA89"/>
      <c r="HTB89"/>
      <c r="HTC89"/>
      <c r="HTD89"/>
      <c r="HTE89"/>
      <c r="HTF89"/>
      <c r="HTG89"/>
      <c r="HTH89"/>
      <c r="HTI89"/>
      <c r="HTJ89"/>
      <c r="HTK89"/>
      <c r="HTL89"/>
      <c r="HTM89"/>
      <c r="HTN89"/>
      <c r="HTO89"/>
      <c r="HTP89"/>
      <c r="HTQ89"/>
      <c r="HTR89"/>
      <c r="HTS89"/>
      <c r="HTT89"/>
      <c r="HTU89"/>
      <c r="HTV89"/>
      <c r="HTW89"/>
      <c r="HTX89"/>
      <c r="HTY89"/>
      <c r="HTZ89"/>
      <c r="HUA89"/>
      <c r="HUB89"/>
      <c r="HUC89"/>
      <c r="HUD89"/>
      <c r="HUE89"/>
      <c r="HUF89"/>
      <c r="HUG89"/>
      <c r="HUH89"/>
      <c r="HUI89"/>
      <c r="HUJ89"/>
      <c r="HUK89"/>
      <c r="HUL89"/>
      <c r="HUM89"/>
      <c r="HUN89"/>
      <c r="HUO89"/>
      <c r="HUP89"/>
      <c r="HUQ89"/>
      <c r="HUR89"/>
      <c r="HUS89"/>
      <c r="HUT89"/>
      <c r="HUU89"/>
      <c r="HUV89"/>
      <c r="HUW89"/>
      <c r="HUX89"/>
      <c r="HUY89"/>
      <c r="HUZ89"/>
      <c r="HVA89"/>
      <c r="HVB89"/>
      <c r="HVC89"/>
      <c r="HVD89"/>
      <c r="HVE89"/>
      <c r="HVF89"/>
      <c r="HVG89"/>
      <c r="HVH89"/>
      <c r="HVI89"/>
      <c r="HVJ89"/>
      <c r="HVK89"/>
      <c r="HVL89"/>
      <c r="HVM89"/>
      <c r="HVN89"/>
      <c r="HVO89"/>
      <c r="HVP89"/>
      <c r="HVQ89"/>
      <c r="HVR89"/>
      <c r="HVS89"/>
      <c r="HVT89"/>
      <c r="HVU89"/>
      <c r="HVV89"/>
      <c r="HVW89"/>
      <c r="HVX89"/>
      <c r="HVY89"/>
      <c r="HVZ89"/>
      <c r="HWA89"/>
      <c r="HWB89"/>
      <c r="HWC89"/>
      <c r="HWD89"/>
      <c r="HWE89"/>
      <c r="HWF89"/>
      <c r="HWG89"/>
      <c r="HWH89"/>
      <c r="HWI89"/>
      <c r="HWJ89"/>
      <c r="HWK89"/>
      <c r="HWL89"/>
      <c r="HWM89"/>
      <c r="HWN89"/>
      <c r="HWO89"/>
      <c r="HWP89"/>
      <c r="HWQ89"/>
      <c r="HWR89"/>
      <c r="HWS89"/>
      <c r="HWT89"/>
      <c r="HWU89"/>
      <c r="HWV89"/>
      <c r="HWW89"/>
      <c r="HWX89"/>
      <c r="HWY89"/>
      <c r="HWZ89"/>
      <c r="HXA89"/>
      <c r="HXB89"/>
      <c r="HXC89"/>
      <c r="HXD89"/>
      <c r="HXE89"/>
      <c r="HXF89"/>
      <c r="HXG89"/>
      <c r="HXH89"/>
      <c r="HXI89"/>
      <c r="HXJ89"/>
      <c r="HXK89"/>
      <c r="HXL89"/>
      <c r="HXM89"/>
      <c r="HXN89"/>
      <c r="HXO89"/>
      <c r="HXP89"/>
      <c r="HXQ89"/>
      <c r="HXR89"/>
      <c r="HXS89"/>
      <c r="HXT89"/>
      <c r="HXU89"/>
      <c r="HXV89"/>
      <c r="HXW89"/>
      <c r="HXX89"/>
      <c r="HXY89"/>
      <c r="HXZ89"/>
      <c r="HYA89"/>
      <c r="HYB89"/>
      <c r="HYC89"/>
      <c r="HYD89"/>
      <c r="HYE89"/>
      <c r="HYF89"/>
      <c r="HYG89"/>
      <c r="HYH89"/>
      <c r="HYI89"/>
      <c r="HYJ89"/>
      <c r="HYK89"/>
      <c r="HYL89"/>
      <c r="HYM89"/>
      <c r="HYN89"/>
      <c r="HYO89"/>
      <c r="HYP89"/>
      <c r="HYQ89"/>
      <c r="HYR89"/>
      <c r="HYS89"/>
      <c r="HYT89"/>
      <c r="HYU89"/>
      <c r="HYV89"/>
      <c r="HYW89"/>
      <c r="HYX89"/>
      <c r="HYY89"/>
      <c r="HYZ89"/>
      <c r="HZA89"/>
      <c r="HZB89"/>
      <c r="HZC89"/>
      <c r="HZD89"/>
      <c r="HZE89"/>
      <c r="HZF89"/>
      <c r="HZG89"/>
      <c r="HZH89"/>
      <c r="HZI89"/>
      <c r="HZJ89"/>
      <c r="HZK89"/>
      <c r="HZL89"/>
      <c r="HZM89"/>
      <c r="HZN89"/>
      <c r="HZO89"/>
      <c r="HZP89"/>
      <c r="HZQ89"/>
      <c r="HZR89"/>
      <c r="HZS89"/>
      <c r="HZT89"/>
      <c r="HZU89"/>
      <c r="HZV89"/>
      <c r="HZW89"/>
      <c r="HZX89"/>
      <c r="HZY89"/>
      <c r="HZZ89"/>
      <c r="IAA89"/>
      <c r="IAB89"/>
      <c r="IAC89"/>
      <c r="IAD89"/>
      <c r="IAE89"/>
      <c r="IAF89"/>
      <c r="IAG89"/>
      <c r="IAH89"/>
      <c r="IAI89"/>
      <c r="IAJ89"/>
      <c r="IAK89"/>
      <c r="IAL89"/>
      <c r="IAM89"/>
      <c r="IAN89"/>
      <c r="IAO89"/>
      <c r="IAP89"/>
      <c r="IAQ89"/>
      <c r="IAR89"/>
      <c r="IAS89"/>
      <c r="IAT89"/>
      <c r="IAU89"/>
      <c r="IAV89"/>
      <c r="IAW89"/>
      <c r="IAX89"/>
      <c r="IAY89"/>
      <c r="IAZ89"/>
      <c r="IBA89"/>
      <c r="IBB89"/>
      <c r="IBC89"/>
      <c r="IBD89"/>
      <c r="IBE89"/>
      <c r="IBF89"/>
      <c r="IBG89"/>
      <c r="IBH89"/>
      <c r="IBI89"/>
      <c r="IBJ89"/>
      <c r="IBK89"/>
      <c r="IBL89"/>
      <c r="IBM89"/>
      <c r="IBN89"/>
      <c r="IBO89"/>
      <c r="IBP89"/>
      <c r="IBQ89"/>
      <c r="IBR89"/>
      <c r="IBS89"/>
      <c r="IBT89"/>
      <c r="IBU89"/>
      <c r="IBV89"/>
      <c r="IBW89"/>
      <c r="IBX89"/>
      <c r="IBY89"/>
      <c r="IBZ89"/>
      <c r="ICA89"/>
      <c r="ICB89"/>
      <c r="ICC89"/>
      <c r="ICD89"/>
      <c r="ICE89"/>
      <c r="ICF89"/>
      <c r="ICG89"/>
      <c r="ICH89"/>
      <c r="ICI89"/>
      <c r="ICJ89"/>
      <c r="ICK89"/>
      <c r="ICL89"/>
      <c r="ICM89"/>
      <c r="ICN89"/>
      <c r="ICO89"/>
      <c r="ICP89"/>
      <c r="ICQ89"/>
      <c r="ICR89"/>
      <c r="ICS89"/>
      <c r="ICT89"/>
      <c r="ICU89"/>
      <c r="ICV89"/>
      <c r="ICW89"/>
      <c r="ICX89"/>
      <c r="ICY89"/>
      <c r="ICZ89"/>
      <c r="IDA89"/>
      <c r="IDB89"/>
      <c r="IDC89"/>
      <c r="IDD89"/>
      <c r="IDE89"/>
      <c r="IDF89"/>
      <c r="IDG89"/>
      <c r="IDH89"/>
      <c r="IDI89"/>
      <c r="IDJ89"/>
      <c r="IDK89"/>
      <c r="IDL89"/>
      <c r="IDM89"/>
      <c r="IDN89"/>
      <c r="IDO89"/>
      <c r="IDP89"/>
      <c r="IDQ89"/>
      <c r="IDR89"/>
      <c r="IDS89"/>
      <c r="IDT89"/>
      <c r="IDU89"/>
      <c r="IDV89"/>
      <c r="IDW89"/>
      <c r="IDX89"/>
      <c r="IDY89"/>
      <c r="IDZ89"/>
      <c r="IEA89"/>
      <c r="IEB89"/>
      <c r="IEC89"/>
      <c r="IED89"/>
      <c r="IEE89"/>
      <c r="IEF89"/>
      <c r="IEG89"/>
      <c r="IEH89"/>
      <c r="IEI89"/>
      <c r="IEJ89"/>
      <c r="IEK89"/>
      <c r="IEL89"/>
      <c r="IEM89"/>
      <c r="IEN89"/>
      <c r="IEO89"/>
      <c r="IEP89"/>
      <c r="IEQ89"/>
      <c r="IER89"/>
      <c r="IES89"/>
      <c r="IET89"/>
      <c r="IEU89"/>
      <c r="IEV89"/>
      <c r="IEW89"/>
      <c r="IEX89"/>
      <c r="IEY89"/>
      <c r="IEZ89"/>
      <c r="IFA89"/>
      <c r="IFB89"/>
      <c r="IFC89"/>
      <c r="IFD89"/>
      <c r="IFE89"/>
      <c r="IFF89"/>
      <c r="IFG89"/>
      <c r="IFH89"/>
      <c r="IFI89"/>
      <c r="IFJ89"/>
      <c r="IFK89"/>
      <c r="IFL89"/>
      <c r="IFM89"/>
      <c r="IFN89"/>
      <c r="IFO89"/>
      <c r="IFP89"/>
      <c r="IFQ89"/>
      <c r="IFR89"/>
      <c r="IFS89"/>
      <c r="IFT89"/>
      <c r="IFU89"/>
      <c r="IFV89"/>
      <c r="IFW89"/>
      <c r="IFX89"/>
      <c r="IFY89"/>
      <c r="IFZ89"/>
      <c r="IGA89"/>
      <c r="IGB89"/>
      <c r="IGC89"/>
      <c r="IGD89"/>
      <c r="IGE89"/>
      <c r="IGF89"/>
      <c r="IGG89"/>
      <c r="IGH89"/>
      <c r="IGI89"/>
      <c r="IGJ89"/>
      <c r="IGK89"/>
      <c r="IGL89"/>
      <c r="IGM89"/>
      <c r="IGN89"/>
      <c r="IGO89"/>
      <c r="IGP89"/>
      <c r="IGQ89"/>
      <c r="IGR89"/>
      <c r="IGS89"/>
      <c r="IGT89"/>
      <c r="IGU89"/>
      <c r="IGV89"/>
      <c r="IGW89"/>
      <c r="IGX89"/>
      <c r="IGY89"/>
      <c r="IGZ89"/>
      <c r="IHA89"/>
      <c r="IHB89"/>
      <c r="IHC89"/>
      <c r="IHD89"/>
      <c r="IHE89"/>
      <c r="IHF89"/>
      <c r="IHG89"/>
      <c r="IHH89"/>
      <c r="IHI89"/>
      <c r="IHJ89"/>
      <c r="IHK89"/>
      <c r="IHL89"/>
      <c r="IHM89"/>
      <c r="IHN89"/>
      <c r="IHO89"/>
      <c r="IHP89"/>
      <c r="IHQ89"/>
      <c r="IHR89"/>
      <c r="IHS89"/>
      <c r="IHT89"/>
      <c r="IHU89"/>
      <c r="IHV89"/>
      <c r="IHW89"/>
      <c r="IHX89"/>
      <c r="IHY89"/>
      <c r="IHZ89"/>
      <c r="IIA89"/>
      <c r="IIB89"/>
      <c r="IIC89"/>
      <c r="IID89"/>
      <c r="IIE89"/>
      <c r="IIF89"/>
      <c r="IIG89"/>
      <c r="IIH89"/>
      <c r="III89"/>
      <c r="IIJ89"/>
      <c r="IIK89"/>
      <c r="IIL89"/>
      <c r="IIM89"/>
      <c r="IIN89"/>
      <c r="IIO89"/>
      <c r="IIP89"/>
      <c r="IIQ89"/>
      <c r="IIR89"/>
      <c r="IIS89"/>
      <c r="IIT89"/>
      <c r="IIU89"/>
      <c r="IIV89"/>
      <c r="IIW89"/>
      <c r="IIX89"/>
      <c r="IIY89"/>
      <c r="IIZ89"/>
      <c r="IJA89"/>
      <c r="IJB89"/>
      <c r="IJC89"/>
      <c r="IJD89"/>
      <c r="IJE89"/>
      <c r="IJF89"/>
      <c r="IJG89"/>
      <c r="IJH89"/>
      <c r="IJI89"/>
      <c r="IJJ89"/>
      <c r="IJK89"/>
      <c r="IJL89"/>
      <c r="IJM89"/>
      <c r="IJN89"/>
      <c r="IJO89"/>
      <c r="IJP89"/>
      <c r="IJQ89"/>
      <c r="IJR89"/>
      <c r="IJS89"/>
      <c r="IJT89"/>
      <c r="IJU89"/>
      <c r="IJV89"/>
      <c r="IJW89"/>
      <c r="IJX89"/>
      <c r="IJY89"/>
      <c r="IJZ89"/>
      <c r="IKA89"/>
      <c r="IKB89"/>
      <c r="IKC89"/>
      <c r="IKD89"/>
      <c r="IKE89"/>
      <c r="IKF89"/>
      <c r="IKG89"/>
      <c r="IKH89"/>
      <c r="IKI89"/>
      <c r="IKJ89"/>
      <c r="IKK89"/>
      <c r="IKL89"/>
      <c r="IKM89"/>
      <c r="IKN89"/>
      <c r="IKO89"/>
      <c r="IKP89"/>
      <c r="IKQ89"/>
      <c r="IKR89"/>
      <c r="IKS89"/>
      <c r="IKT89"/>
      <c r="IKU89"/>
      <c r="IKV89"/>
      <c r="IKW89"/>
      <c r="IKX89"/>
      <c r="IKY89"/>
      <c r="IKZ89"/>
      <c r="ILA89"/>
      <c r="ILB89"/>
      <c r="ILC89"/>
      <c r="ILD89"/>
      <c r="ILE89"/>
      <c r="ILF89"/>
      <c r="ILG89"/>
      <c r="ILH89"/>
      <c r="ILI89"/>
      <c r="ILJ89"/>
      <c r="ILK89"/>
      <c r="ILL89"/>
      <c r="ILM89"/>
      <c r="ILN89"/>
      <c r="ILO89"/>
      <c r="ILP89"/>
      <c r="ILQ89"/>
      <c r="ILR89"/>
      <c r="ILS89"/>
      <c r="ILT89"/>
      <c r="ILU89"/>
      <c r="ILV89"/>
      <c r="ILW89"/>
      <c r="ILX89"/>
      <c r="ILY89"/>
      <c r="ILZ89"/>
      <c r="IMA89"/>
      <c r="IMB89"/>
      <c r="IMC89"/>
      <c r="IMD89"/>
      <c r="IME89"/>
      <c r="IMF89"/>
      <c r="IMG89"/>
      <c r="IMH89"/>
      <c r="IMI89"/>
      <c r="IMJ89"/>
      <c r="IMK89"/>
      <c r="IML89"/>
      <c r="IMM89"/>
      <c r="IMN89"/>
      <c r="IMO89"/>
      <c r="IMP89"/>
      <c r="IMQ89"/>
      <c r="IMR89"/>
      <c r="IMS89"/>
      <c r="IMT89"/>
      <c r="IMU89"/>
      <c r="IMV89"/>
      <c r="IMW89"/>
      <c r="IMX89"/>
      <c r="IMY89"/>
      <c r="IMZ89"/>
      <c r="INA89"/>
      <c r="INB89"/>
      <c r="INC89"/>
      <c r="IND89"/>
      <c r="INE89"/>
      <c r="INF89"/>
      <c r="ING89"/>
      <c r="INH89"/>
      <c r="INI89"/>
      <c r="INJ89"/>
      <c r="INK89"/>
      <c r="INL89"/>
      <c r="INM89"/>
      <c r="INN89"/>
      <c r="INO89"/>
      <c r="INP89"/>
      <c r="INQ89"/>
      <c r="INR89"/>
      <c r="INS89"/>
      <c r="INT89"/>
      <c r="INU89"/>
      <c r="INV89"/>
      <c r="INW89"/>
      <c r="INX89"/>
      <c r="INY89"/>
      <c r="INZ89"/>
      <c r="IOA89"/>
      <c r="IOB89"/>
      <c r="IOC89"/>
      <c r="IOD89"/>
      <c r="IOE89"/>
      <c r="IOF89"/>
      <c r="IOG89"/>
      <c r="IOH89"/>
      <c r="IOI89"/>
      <c r="IOJ89"/>
      <c r="IOK89"/>
      <c r="IOL89"/>
      <c r="IOM89"/>
      <c r="ION89"/>
      <c r="IOO89"/>
      <c r="IOP89"/>
      <c r="IOQ89"/>
      <c r="IOR89"/>
      <c r="IOS89"/>
      <c r="IOT89"/>
      <c r="IOU89"/>
      <c r="IOV89"/>
      <c r="IOW89"/>
      <c r="IOX89"/>
      <c r="IOY89"/>
      <c r="IOZ89"/>
      <c r="IPA89"/>
      <c r="IPB89"/>
      <c r="IPC89"/>
      <c r="IPD89"/>
      <c r="IPE89"/>
      <c r="IPF89"/>
      <c r="IPG89"/>
      <c r="IPH89"/>
      <c r="IPI89"/>
      <c r="IPJ89"/>
      <c r="IPK89"/>
      <c r="IPL89"/>
      <c r="IPM89"/>
      <c r="IPN89"/>
      <c r="IPO89"/>
      <c r="IPP89"/>
      <c r="IPQ89"/>
      <c r="IPR89"/>
      <c r="IPS89"/>
      <c r="IPT89"/>
      <c r="IPU89"/>
      <c r="IPV89"/>
      <c r="IPW89"/>
      <c r="IPX89"/>
      <c r="IPY89"/>
      <c r="IPZ89"/>
      <c r="IQA89"/>
      <c r="IQB89"/>
      <c r="IQC89"/>
      <c r="IQD89"/>
      <c r="IQE89"/>
      <c r="IQF89"/>
      <c r="IQG89"/>
      <c r="IQH89"/>
      <c r="IQI89"/>
      <c r="IQJ89"/>
      <c r="IQK89"/>
      <c r="IQL89"/>
      <c r="IQM89"/>
      <c r="IQN89"/>
      <c r="IQO89"/>
      <c r="IQP89"/>
      <c r="IQQ89"/>
      <c r="IQR89"/>
      <c r="IQS89"/>
      <c r="IQT89"/>
      <c r="IQU89"/>
      <c r="IQV89"/>
      <c r="IQW89"/>
      <c r="IQX89"/>
      <c r="IQY89"/>
      <c r="IQZ89"/>
      <c r="IRA89"/>
      <c r="IRB89"/>
      <c r="IRC89"/>
      <c r="IRD89"/>
      <c r="IRE89"/>
      <c r="IRF89"/>
      <c r="IRG89"/>
      <c r="IRH89"/>
      <c r="IRI89"/>
      <c r="IRJ89"/>
      <c r="IRK89"/>
      <c r="IRL89"/>
      <c r="IRM89"/>
      <c r="IRN89"/>
      <c r="IRO89"/>
      <c r="IRP89"/>
      <c r="IRQ89"/>
      <c r="IRR89"/>
      <c r="IRS89"/>
      <c r="IRT89"/>
      <c r="IRU89"/>
      <c r="IRV89"/>
      <c r="IRW89"/>
      <c r="IRX89"/>
      <c r="IRY89"/>
      <c r="IRZ89"/>
      <c r="ISA89"/>
      <c r="ISB89"/>
      <c r="ISC89"/>
      <c r="ISD89"/>
      <c r="ISE89"/>
      <c r="ISF89"/>
      <c r="ISG89"/>
      <c r="ISH89"/>
      <c r="ISI89"/>
      <c r="ISJ89"/>
      <c r="ISK89"/>
      <c r="ISL89"/>
      <c r="ISM89"/>
      <c r="ISN89"/>
      <c r="ISO89"/>
      <c r="ISP89"/>
      <c r="ISQ89"/>
      <c r="ISR89"/>
      <c r="ISS89"/>
      <c r="IST89"/>
      <c r="ISU89"/>
      <c r="ISV89"/>
      <c r="ISW89"/>
      <c r="ISX89"/>
      <c r="ISY89"/>
      <c r="ISZ89"/>
      <c r="ITA89"/>
      <c r="ITB89"/>
      <c r="ITC89"/>
      <c r="ITD89"/>
      <c r="ITE89"/>
      <c r="ITF89"/>
      <c r="ITG89"/>
      <c r="ITH89"/>
      <c r="ITI89"/>
      <c r="ITJ89"/>
      <c r="ITK89"/>
      <c r="ITL89"/>
      <c r="ITM89"/>
      <c r="ITN89"/>
      <c r="ITO89"/>
      <c r="ITP89"/>
      <c r="ITQ89"/>
      <c r="ITR89"/>
      <c r="ITS89"/>
      <c r="ITT89"/>
      <c r="ITU89"/>
      <c r="ITV89"/>
      <c r="ITW89"/>
      <c r="ITX89"/>
      <c r="ITY89"/>
      <c r="ITZ89"/>
      <c r="IUA89"/>
      <c r="IUB89"/>
      <c r="IUC89"/>
      <c r="IUD89"/>
      <c r="IUE89"/>
      <c r="IUF89"/>
      <c r="IUG89"/>
      <c r="IUH89"/>
      <c r="IUI89"/>
      <c r="IUJ89"/>
      <c r="IUK89"/>
      <c r="IUL89"/>
      <c r="IUM89"/>
      <c r="IUN89"/>
      <c r="IUO89"/>
      <c r="IUP89"/>
      <c r="IUQ89"/>
      <c r="IUR89"/>
      <c r="IUS89"/>
      <c r="IUT89"/>
      <c r="IUU89"/>
      <c r="IUV89"/>
      <c r="IUW89"/>
      <c r="IUX89"/>
      <c r="IUY89"/>
      <c r="IUZ89"/>
      <c r="IVA89"/>
      <c r="IVB89"/>
      <c r="IVC89"/>
      <c r="IVD89"/>
      <c r="IVE89"/>
      <c r="IVF89"/>
      <c r="IVG89"/>
      <c r="IVH89"/>
      <c r="IVI89"/>
      <c r="IVJ89"/>
      <c r="IVK89"/>
      <c r="IVL89"/>
      <c r="IVM89"/>
      <c r="IVN89"/>
      <c r="IVO89"/>
      <c r="IVP89"/>
      <c r="IVQ89"/>
      <c r="IVR89"/>
      <c r="IVS89"/>
      <c r="IVT89"/>
      <c r="IVU89"/>
      <c r="IVV89"/>
      <c r="IVW89"/>
      <c r="IVX89"/>
      <c r="IVY89"/>
      <c r="IVZ89"/>
      <c r="IWA89"/>
      <c r="IWB89"/>
      <c r="IWC89"/>
      <c r="IWD89"/>
      <c r="IWE89"/>
      <c r="IWF89"/>
      <c r="IWG89"/>
      <c r="IWH89"/>
      <c r="IWI89"/>
      <c r="IWJ89"/>
      <c r="IWK89"/>
      <c r="IWL89"/>
      <c r="IWM89"/>
      <c r="IWN89"/>
      <c r="IWO89"/>
      <c r="IWP89"/>
      <c r="IWQ89"/>
      <c r="IWR89"/>
      <c r="IWS89"/>
      <c r="IWT89"/>
      <c r="IWU89"/>
      <c r="IWV89"/>
      <c r="IWW89"/>
      <c r="IWX89"/>
      <c r="IWY89"/>
      <c r="IWZ89"/>
      <c r="IXA89"/>
      <c r="IXB89"/>
      <c r="IXC89"/>
      <c r="IXD89"/>
      <c r="IXE89"/>
      <c r="IXF89"/>
      <c r="IXG89"/>
      <c r="IXH89"/>
      <c r="IXI89"/>
      <c r="IXJ89"/>
      <c r="IXK89"/>
      <c r="IXL89"/>
      <c r="IXM89"/>
      <c r="IXN89"/>
      <c r="IXO89"/>
      <c r="IXP89"/>
      <c r="IXQ89"/>
      <c r="IXR89"/>
      <c r="IXS89"/>
      <c r="IXT89"/>
      <c r="IXU89"/>
      <c r="IXV89"/>
      <c r="IXW89"/>
      <c r="IXX89"/>
      <c r="IXY89"/>
      <c r="IXZ89"/>
      <c r="IYA89"/>
      <c r="IYB89"/>
      <c r="IYC89"/>
      <c r="IYD89"/>
      <c r="IYE89"/>
      <c r="IYF89"/>
      <c r="IYG89"/>
      <c r="IYH89"/>
      <c r="IYI89"/>
      <c r="IYJ89"/>
      <c r="IYK89"/>
      <c r="IYL89"/>
      <c r="IYM89"/>
      <c r="IYN89"/>
      <c r="IYO89"/>
      <c r="IYP89"/>
      <c r="IYQ89"/>
      <c r="IYR89"/>
      <c r="IYS89"/>
      <c r="IYT89"/>
      <c r="IYU89"/>
      <c r="IYV89"/>
      <c r="IYW89"/>
      <c r="IYX89"/>
      <c r="IYY89"/>
      <c r="IYZ89"/>
      <c r="IZA89"/>
      <c r="IZB89"/>
      <c r="IZC89"/>
      <c r="IZD89"/>
      <c r="IZE89"/>
      <c r="IZF89"/>
      <c r="IZG89"/>
      <c r="IZH89"/>
      <c r="IZI89"/>
      <c r="IZJ89"/>
      <c r="IZK89"/>
      <c r="IZL89"/>
      <c r="IZM89"/>
      <c r="IZN89"/>
      <c r="IZO89"/>
      <c r="IZP89"/>
      <c r="IZQ89"/>
      <c r="IZR89"/>
      <c r="IZS89"/>
      <c r="IZT89"/>
      <c r="IZU89"/>
      <c r="IZV89"/>
      <c r="IZW89"/>
      <c r="IZX89"/>
      <c r="IZY89"/>
      <c r="IZZ89"/>
      <c r="JAA89"/>
      <c r="JAB89"/>
      <c r="JAC89"/>
      <c r="JAD89"/>
      <c r="JAE89"/>
      <c r="JAF89"/>
      <c r="JAG89"/>
      <c r="JAH89"/>
      <c r="JAI89"/>
      <c r="JAJ89"/>
      <c r="JAK89"/>
      <c r="JAL89"/>
      <c r="JAM89"/>
      <c r="JAN89"/>
      <c r="JAO89"/>
      <c r="JAP89"/>
      <c r="JAQ89"/>
      <c r="JAR89"/>
      <c r="JAS89"/>
      <c r="JAT89"/>
      <c r="JAU89"/>
      <c r="JAV89"/>
      <c r="JAW89"/>
      <c r="JAX89"/>
      <c r="JAY89"/>
      <c r="JAZ89"/>
      <c r="JBA89"/>
      <c r="JBB89"/>
      <c r="JBC89"/>
      <c r="JBD89"/>
      <c r="JBE89"/>
      <c r="JBF89"/>
      <c r="JBG89"/>
      <c r="JBH89"/>
      <c r="JBI89"/>
      <c r="JBJ89"/>
      <c r="JBK89"/>
      <c r="JBL89"/>
      <c r="JBM89"/>
      <c r="JBN89"/>
      <c r="JBO89"/>
      <c r="JBP89"/>
      <c r="JBQ89"/>
      <c r="JBR89"/>
      <c r="JBS89"/>
      <c r="JBT89"/>
      <c r="JBU89"/>
      <c r="JBV89"/>
      <c r="JBW89"/>
      <c r="JBX89"/>
      <c r="JBY89"/>
      <c r="JBZ89"/>
      <c r="JCA89"/>
      <c r="JCB89"/>
      <c r="JCC89"/>
      <c r="JCD89"/>
      <c r="JCE89"/>
      <c r="JCF89"/>
      <c r="JCG89"/>
      <c r="JCH89"/>
      <c r="JCI89"/>
      <c r="JCJ89"/>
      <c r="JCK89"/>
      <c r="JCL89"/>
      <c r="JCM89"/>
      <c r="JCN89"/>
      <c r="JCO89"/>
      <c r="JCP89"/>
      <c r="JCQ89"/>
      <c r="JCR89"/>
      <c r="JCS89"/>
      <c r="JCT89"/>
      <c r="JCU89"/>
      <c r="JCV89"/>
      <c r="JCW89"/>
      <c r="JCX89"/>
      <c r="JCY89"/>
      <c r="JCZ89"/>
      <c r="JDA89"/>
      <c r="JDB89"/>
      <c r="JDC89"/>
      <c r="JDD89"/>
      <c r="JDE89"/>
      <c r="JDF89"/>
      <c r="JDG89"/>
      <c r="JDH89"/>
      <c r="JDI89"/>
      <c r="JDJ89"/>
      <c r="JDK89"/>
      <c r="JDL89"/>
      <c r="JDM89"/>
      <c r="JDN89"/>
      <c r="JDO89"/>
      <c r="JDP89"/>
      <c r="JDQ89"/>
      <c r="JDR89"/>
      <c r="JDS89"/>
      <c r="JDT89"/>
      <c r="JDU89"/>
      <c r="JDV89"/>
      <c r="JDW89"/>
      <c r="JDX89"/>
      <c r="JDY89"/>
      <c r="JDZ89"/>
      <c r="JEA89"/>
      <c r="JEB89"/>
      <c r="JEC89"/>
      <c r="JED89"/>
      <c r="JEE89"/>
      <c r="JEF89"/>
      <c r="JEG89"/>
      <c r="JEH89"/>
      <c r="JEI89"/>
      <c r="JEJ89"/>
      <c r="JEK89"/>
      <c r="JEL89"/>
      <c r="JEM89"/>
      <c r="JEN89"/>
      <c r="JEO89"/>
      <c r="JEP89"/>
      <c r="JEQ89"/>
      <c r="JER89"/>
      <c r="JES89"/>
      <c r="JET89"/>
      <c r="JEU89"/>
      <c r="JEV89"/>
      <c r="JEW89"/>
      <c r="JEX89"/>
      <c r="JEY89"/>
      <c r="JEZ89"/>
      <c r="JFA89"/>
      <c r="JFB89"/>
      <c r="JFC89"/>
      <c r="JFD89"/>
      <c r="JFE89"/>
      <c r="JFF89"/>
      <c r="JFG89"/>
      <c r="JFH89"/>
      <c r="JFI89"/>
      <c r="JFJ89"/>
      <c r="JFK89"/>
      <c r="JFL89"/>
      <c r="JFM89"/>
      <c r="JFN89"/>
      <c r="JFO89"/>
      <c r="JFP89"/>
      <c r="JFQ89"/>
      <c r="JFR89"/>
      <c r="JFS89"/>
      <c r="JFT89"/>
      <c r="JFU89"/>
      <c r="JFV89"/>
      <c r="JFW89"/>
      <c r="JFX89"/>
      <c r="JFY89"/>
      <c r="JFZ89"/>
      <c r="JGA89"/>
      <c r="JGB89"/>
      <c r="JGC89"/>
      <c r="JGD89"/>
      <c r="JGE89"/>
      <c r="JGF89"/>
      <c r="JGG89"/>
      <c r="JGH89"/>
      <c r="JGI89"/>
      <c r="JGJ89"/>
      <c r="JGK89"/>
      <c r="JGL89"/>
      <c r="JGM89"/>
      <c r="JGN89"/>
      <c r="JGO89"/>
      <c r="JGP89"/>
      <c r="JGQ89"/>
      <c r="JGR89"/>
      <c r="JGS89"/>
      <c r="JGT89"/>
      <c r="JGU89"/>
      <c r="JGV89"/>
      <c r="JGW89"/>
      <c r="JGX89"/>
      <c r="JGY89"/>
      <c r="JGZ89"/>
      <c r="JHA89"/>
      <c r="JHB89"/>
      <c r="JHC89"/>
      <c r="JHD89"/>
      <c r="JHE89"/>
      <c r="JHF89"/>
      <c r="JHG89"/>
      <c r="JHH89"/>
      <c r="JHI89"/>
      <c r="JHJ89"/>
      <c r="JHK89"/>
      <c r="JHL89"/>
      <c r="JHM89"/>
      <c r="JHN89"/>
      <c r="JHO89"/>
      <c r="JHP89"/>
      <c r="JHQ89"/>
      <c r="JHR89"/>
      <c r="JHS89"/>
      <c r="JHT89"/>
      <c r="JHU89"/>
      <c r="JHV89"/>
      <c r="JHW89"/>
      <c r="JHX89"/>
      <c r="JHY89"/>
      <c r="JHZ89"/>
      <c r="JIA89"/>
      <c r="JIB89"/>
      <c r="JIC89"/>
      <c r="JID89"/>
      <c r="JIE89"/>
      <c r="JIF89"/>
      <c r="JIG89"/>
      <c r="JIH89"/>
      <c r="JII89"/>
      <c r="JIJ89"/>
      <c r="JIK89"/>
      <c r="JIL89"/>
      <c r="JIM89"/>
      <c r="JIN89"/>
      <c r="JIO89"/>
      <c r="JIP89"/>
      <c r="JIQ89"/>
      <c r="JIR89"/>
      <c r="JIS89"/>
      <c r="JIT89"/>
      <c r="JIU89"/>
      <c r="JIV89"/>
      <c r="JIW89"/>
      <c r="JIX89"/>
      <c r="JIY89"/>
      <c r="JIZ89"/>
      <c r="JJA89"/>
      <c r="JJB89"/>
      <c r="JJC89"/>
      <c r="JJD89"/>
      <c r="JJE89"/>
      <c r="JJF89"/>
      <c r="JJG89"/>
      <c r="JJH89"/>
      <c r="JJI89"/>
      <c r="JJJ89"/>
      <c r="JJK89"/>
      <c r="JJL89"/>
      <c r="JJM89"/>
      <c r="JJN89"/>
      <c r="JJO89"/>
      <c r="JJP89"/>
      <c r="JJQ89"/>
      <c r="JJR89"/>
      <c r="JJS89"/>
      <c r="JJT89"/>
      <c r="JJU89"/>
      <c r="JJV89"/>
      <c r="JJW89"/>
      <c r="JJX89"/>
      <c r="JJY89"/>
      <c r="JJZ89"/>
      <c r="JKA89"/>
      <c r="JKB89"/>
      <c r="JKC89"/>
      <c r="JKD89"/>
      <c r="JKE89"/>
      <c r="JKF89"/>
      <c r="JKG89"/>
      <c r="JKH89"/>
      <c r="JKI89"/>
      <c r="JKJ89"/>
      <c r="JKK89"/>
      <c r="JKL89"/>
      <c r="JKM89"/>
      <c r="JKN89"/>
      <c r="JKO89"/>
      <c r="JKP89"/>
      <c r="JKQ89"/>
      <c r="JKR89"/>
      <c r="JKS89"/>
      <c r="JKT89"/>
      <c r="JKU89"/>
      <c r="JKV89"/>
      <c r="JKW89"/>
      <c r="JKX89"/>
      <c r="JKY89"/>
      <c r="JKZ89"/>
      <c r="JLA89"/>
      <c r="JLB89"/>
      <c r="JLC89"/>
      <c r="JLD89"/>
      <c r="JLE89"/>
      <c r="JLF89"/>
      <c r="JLG89"/>
      <c r="JLH89"/>
      <c r="JLI89"/>
      <c r="JLJ89"/>
      <c r="JLK89"/>
      <c r="JLL89"/>
      <c r="JLM89"/>
      <c r="JLN89"/>
      <c r="JLO89"/>
      <c r="JLP89"/>
      <c r="JLQ89"/>
      <c r="JLR89"/>
      <c r="JLS89"/>
      <c r="JLT89"/>
      <c r="JLU89"/>
      <c r="JLV89"/>
      <c r="JLW89"/>
      <c r="JLX89"/>
      <c r="JLY89"/>
      <c r="JLZ89"/>
      <c r="JMA89"/>
      <c r="JMB89"/>
      <c r="JMC89"/>
      <c r="JMD89"/>
      <c r="JME89"/>
      <c r="JMF89"/>
      <c r="JMG89"/>
      <c r="JMH89"/>
      <c r="JMI89"/>
      <c r="JMJ89"/>
      <c r="JMK89"/>
      <c r="JML89"/>
      <c r="JMM89"/>
      <c r="JMN89"/>
      <c r="JMO89"/>
      <c r="JMP89"/>
      <c r="JMQ89"/>
      <c r="JMR89"/>
      <c r="JMS89"/>
      <c r="JMT89"/>
      <c r="JMU89"/>
      <c r="JMV89"/>
      <c r="JMW89"/>
      <c r="JMX89"/>
      <c r="JMY89"/>
      <c r="JMZ89"/>
      <c r="JNA89"/>
      <c r="JNB89"/>
      <c r="JNC89"/>
      <c r="JND89"/>
      <c r="JNE89"/>
      <c r="JNF89"/>
      <c r="JNG89"/>
      <c r="JNH89"/>
      <c r="JNI89"/>
      <c r="JNJ89"/>
      <c r="JNK89"/>
      <c r="JNL89"/>
      <c r="JNM89"/>
      <c r="JNN89"/>
      <c r="JNO89"/>
      <c r="JNP89"/>
      <c r="JNQ89"/>
      <c r="JNR89"/>
      <c r="JNS89"/>
      <c r="JNT89"/>
      <c r="JNU89"/>
      <c r="JNV89"/>
      <c r="JNW89"/>
      <c r="JNX89"/>
      <c r="JNY89"/>
      <c r="JNZ89"/>
      <c r="JOA89"/>
      <c r="JOB89"/>
      <c r="JOC89"/>
      <c r="JOD89"/>
      <c r="JOE89"/>
      <c r="JOF89"/>
      <c r="JOG89"/>
      <c r="JOH89"/>
      <c r="JOI89"/>
      <c r="JOJ89"/>
      <c r="JOK89"/>
      <c r="JOL89"/>
      <c r="JOM89"/>
      <c r="JON89"/>
      <c r="JOO89"/>
      <c r="JOP89"/>
      <c r="JOQ89"/>
      <c r="JOR89"/>
      <c r="JOS89"/>
      <c r="JOT89"/>
      <c r="JOU89"/>
      <c r="JOV89"/>
      <c r="JOW89"/>
      <c r="JOX89"/>
      <c r="JOY89"/>
      <c r="JOZ89"/>
      <c r="JPA89"/>
      <c r="JPB89"/>
      <c r="JPC89"/>
      <c r="JPD89"/>
      <c r="JPE89"/>
      <c r="JPF89"/>
      <c r="JPG89"/>
      <c r="JPH89"/>
      <c r="JPI89"/>
      <c r="JPJ89"/>
      <c r="JPK89"/>
      <c r="JPL89"/>
      <c r="JPM89"/>
      <c r="JPN89"/>
      <c r="JPO89"/>
      <c r="JPP89"/>
      <c r="JPQ89"/>
      <c r="JPR89"/>
      <c r="JPS89"/>
      <c r="JPT89"/>
      <c r="JPU89"/>
      <c r="JPV89"/>
      <c r="JPW89"/>
      <c r="JPX89"/>
      <c r="JPY89"/>
      <c r="JPZ89"/>
      <c r="JQA89"/>
      <c r="JQB89"/>
      <c r="JQC89"/>
      <c r="JQD89"/>
      <c r="JQE89"/>
      <c r="JQF89"/>
      <c r="JQG89"/>
      <c r="JQH89"/>
      <c r="JQI89"/>
      <c r="JQJ89"/>
      <c r="JQK89"/>
      <c r="JQL89"/>
      <c r="JQM89"/>
      <c r="JQN89"/>
      <c r="JQO89"/>
      <c r="JQP89"/>
      <c r="JQQ89"/>
      <c r="JQR89"/>
      <c r="JQS89"/>
      <c r="JQT89"/>
      <c r="JQU89"/>
      <c r="JQV89"/>
      <c r="JQW89"/>
      <c r="JQX89"/>
      <c r="JQY89"/>
      <c r="JQZ89"/>
      <c r="JRA89"/>
      <c r="JRB89"/>
      <c r="JRC89"/>
      <c r="JRD89"/>
      <c r="JRE89"/>
      <c r="JRF89"/>
      <c r="JRG89"/>
      <c r="JRH89"/>
      <c r="JRI89"/>
      <c r="JRJ89"/>
      <c r="JRK89"/>
      <c r="JRL89"/>
      <c r="JRM89"/>
      <c r="JRN89"/>
      <c r="JRO89"/>
      <c r="JRP89"/>
      <c r="JRQ89"/>
      <c r="JRR89"/>
      <c r="JRS89"/>
      <c r="JRT89"/>
      <c r="JRU89"/>
      <c r="JRV89"/>
      <c r="JRW89"/>
      <c r="JRX89"/>
      <c r="JRY89"/>
      <c r="JRZ89"/>
      <c r="JSA89"/>
      <c r="JSB89"/>
      <c r="JSC89"/>
      <c r="JSD89"/>
      <c r="JSE89"/>
      <c r="JSF89"/>
      <c r="JSG89"/>
      <c r="JSH89"/>
      <c r="JSI89"/>
      <c r="JSJ89"/>
      <c r="JSK89"/>
      <c r="JSL89"/>
      <c r="JSM89"/>
      <c r="JSN89"/>
      <c r="JSO89"/>
      <c r="JSP89"/>
      <c r="JSQ89"/>
      <c r="JSR89"/>
      <c r="JSS89"/>
      <c r="JST89"/>
      <c r="JSU89"/>
      <c r="JSV89"/>
      <c r="JSW89"/>
      <c r="JSX89"/>
      <c r="JSY89"/>
      <c r="JSZ89"/>
      <c r="JTA89"/>
      <c r="JTB89"/>
      <c r="JTC89"/>
      <c r="JTD89"/>
      <c r="JTE89"/>
      <c r="JTF89"/>
      <c r="JTG89"/>
      <c r="JTH89"/>
      <c r="JTI89"/>
      <c r="JTJ89"/>
      <c r="JTK89"/>
      <c r="JTL89"/>
      <c r="JTM89"/>
      <c r="JTN89"/>
      <c r="JTO89"/>
      <c r="JTP89"/>
      <c r="JTQ89"/>
      <c r="JTR89"/>
      <c r="JTS89"/>
      <c r="JTT89"/>
      <c r="JTU89"/>
      <c r="JTV89"/>
      <c r="JTW89"/>
      <c r="JTX89"/>
      <c r="JTY89"/>
      <c r="JTZ89"/>
      <c r="JUA89"/>
      <c r="JUB89"/>
      <c r="JUC89"/>
      <c r="JUD89"/>
      <c r="JUE89"/>
      <c r="JUF89"/>
      <c r="JUG89"/>
      <c r="JUH89"/>
      <c r="JUI89"/>
      <c r="JUJ89"/>
      <c r="JUK89"/>
      <c r="JUL89"/>
      <c r="JUM89"/>
      <c r="JUN89"/>
      <c r="JUO89"/>
      <c r="JUP89"/>
      <c r="JUQ89"/>
      <c r="JUR89"/>
      <c r="JUS89"/>
      <c r="JUT89"/>
      <c r="JUU89"/>
      <c r="JUV89"/>
      <c r="JUW89"/>
      <c r="JUX89"/>
      <c r="JUY89"/>
      <c r="JUZ89"/>
      <c r="JVA89"/>
      <c r="JVB89"/>
      <c r="JVC89"/>
      <c r="JVD89"/>
      <c r="JVE89"/>
      <c r="JVF89"/>
      <c r="JVG89"/>
      <c r="JVH89"/>
      <c r="JVI89"/>
      <c r="JVJ89"/>
      <c r="JVK89"/>
      <c r="JVL89"/>
      <c r="JVM89"/>
      <c r="JVN89"/>
      <c r="JVO89"/>
      <c r="JVP89"/>
      <c r="JVQ89"/>
      <c r="JVR89"/>
      <c r="JVS89"/>
      <c r="JVT89"/>
      <c r="JVU89"/>
      <c r="JVV89"/>
      <c r="JVW89"/>
      <c r="JVX89"/>
      <c r="JVY89"/>
      <c r="JVZ89"/>
      <c r="JWA89"/>
      <c r="JWB89"/>
      <c r="JWC89"/>
      <c r="JWD89"/>
      <c r="JWE89"/>
      <c r="JWF89"/>
      <c r="JWG89"/>
      <c r="JWH89"/>
      <c r="JWI89"/>
      <c r="JWJ89"/>
      <c r="JWK89"/>
      <c r="JWL89"/>
      <c r="JWM89"/>
      <c r="JWN89"/>
      <c r="JWO89"/>
      <c r="JWP89"/>
      <c r="JWQ89"/>
      <c r="JWR89"/>
      <c r="JWS89"/>
      <c r="JWT89"/>
      <c r="JWU89"/>
      <c r="JWV89"/>
      <c r="JWW89"/>
      <c r="JWX89"/>
      <c r="JWY89"/>
      <c r="JWZ89"/>
      <c r="JXA89"/>
      <c r="JXB89"/>
      <c r="JXC89"/>
      <c r="JXD89"/>
      <c r="JXE89"/>
      <c r="JXF89"/>
      <c r="JXG89"/>
      <c r="JXH89"/>
      <c r="JXI89"/>
      <c r="JXJ89"/>
      <c r="JXK89"/>
      <c r="JXL89"/>
      <c r="JXM89"/>
      <c r="JXN89"/>
      <c r="JXO89"/>
      <c r="JXP89"/>
      <c r="JXQ89"/>
      <c r="JXR89"/>
      <c r="JXS89"/>
      <c r="JXT89"/>
      <c r="JXU89"/>
      <c r="JXV89"/>
      <c r="JXW89"/>
      <c r="JXX89"/>
      <c r="JXY89"/>
      <c r="JXZ89"/>
      <c r="JYA89"/>
      <c r="JYB89"/>
      <c r="JYC89"/>
      <c r="JYD89"/>
      <c r="JYE89"/>
      <c r="JYF89"/>
      <c r="JYG89"/>
      <c r="JYH89"/>
      <c r="JYI89"/>
      <c r="JYJ89"/>
      <c r="JYK89"/>
      <c r="JYL89"/>
      <c r="JYM89"/>
      <c r="JYN89"/>
      <c r="JYO89"/>
      <c r="JYP89"/>
      <c r="JYQ89"/>
      <c r="JYR89"/>
      <c r="JYS89"/>
      <c r="JYT89"/>
      <c r="JYU89"/>
      <c r="JYV89"/>
      <c r="JYW89"/>
      <c r="JYX89"/>
      <c r="JYY89"/>
      <c r="JYZ89"/>
      <c r="JZA89"/>
      <c r="JZB89"/>
      <c r="JZC89"/>
      <c r="JZD89"/>
      <c r="JZE89"/>
      <c r="JZF89"/>
      <c r="JZG89"/>
      <c r="JZH89"/>
      <c r="JZI89"/>
      <c r="JZJ89"/>
      <c r="JZK89"/>
      <c r="JZL89"/>
      <c r="JZM89"/>
      <c r="JZN89"/>
      <c r="JZO89"/>
      <c r="JZP89"/>
      <c r="JZQ89"/>
      <c r="JZR89"/>
      <c r="JZS89"/>
      <c r="JZT89"/>
      <c r="JZU89"/>
      <c r="JZV89"/>
      <c r="JZW89"/>
      <c r="JZX89"/>
      <c r="JZY89"/>
      <c r="JZZ89"/>
      <c r="KAA89"/>
      <c r="KAB89"/>
      <c r="KAC89"/>
      <c r="KAD89"/>
      <c r="KAE89"/>
      <c r="KAF89"/>
      <c r="KAG89"/>
      <c r="KAH89"/>
      <c r="KAI89"/>
      <c r="KAJ89"/>
      <c r="KAK89"/>
      <c r="KAL89"/>
      <c r="KAM89"/>
      <c r="KAN89"/>
      <c r="KAO89"/>
      <c r="KAP89"/>
      <c r="KAQ89"/>
      <c r="KAR89"/>
      <c r="KAS89"/>
      <c r="KAT89"/>
      <c r="KAU89"/>
      <c r="KAV89"/>
      <c r="KAW89"/>
      <c r="KAX89"/>
      <c r="KAY89"/>
      <c r="KAZ89"/>
      <c r="KBA89"/>
      <c r="KBB89"/>
      <c r="KBC89"/>
      <c r="KBD89"/>
      <c r="KBE89"/>
      <c r="KBF89"/>
      <c r="KBG89"/>
      <c r="KBH89"/>
      <c r="KBI89"/>
      <c r="KBJ89"/>
      <c r="KBK89"/>
      <c r="KBL89"/>
      <c r="KBM89"/>
      <c r="KBN89"/>
      <c r="KBO89"/>
      <c r="KBP89"/>
      <c r="KBQ89"/>
      <c r="KBR89"/>
      <c r="KBS89"/>
      <c r="KBT89"/>
      <c r="KBU89"/>
      <c r="KBV89"/>
      <c r="KBW89"/>
      <c r="KBX89"/>
      <c r="KBY89"/>
      <c r="KBZ89"/>
      <c r="KCA89"/>
      <c r="KCB89"/>
      <c r="KCC89"/>
      <c r="KCD89"/>
      <c r="KCE89"/>
      <c r="KCF89"/>
      <c r="KCG89"/>
      <c r="KCH89"/>
      <c r="KCI89"/>
      <c r="KCJ89"/>
      <c r="KCK89"/>
      <c r="KCL89"/>
      <c r="KCM89"/>
      <c r="KCN89"/>
      <c r="KCO89"/>
      <c r="KCP89"/>
      <c r="KCQ89"/>
      <c r="KCR89"/>
      <c r="KCS89"/>
      <c r="KCT89"/>
      <c r="KCU89"/>
      <c r="KCV89"/>
      <c r="KCW89"/>
      <c r="KCX89"/>
      <c r="KCY89"/>
      <c r="KCZ89"/>
      <c r="KDA89"/>
      <c r="KDB89"/>
      <c r="KDC89"/>
      <c r="KDD89"/>
      <c r="KDE89"/>
      <c r="KDF89"/>
      <c r="KDG89"/>
      <c r="KDH89"/>
      <c r="KDI89"/>
      <c r="KDJ89"/>
      <c r="KDK89"/>
      <c r="KDL89"/>
      <c r="KDM89"/>
      <c r="KDN89"/>
      <c r="KDO89"/>
      <c r="KDP89"/>
      <c r="KDQ89"/>
      <c r="KDR89"/>
      <c r="KDS89"/>
      <c r="KDT89"/>
      <c r="KDU89"/>
      <c r="KDV89"/>
      <c r="KDW89"/>
      <c r="KDX89"/>
      <c r="KDY89"/>
      <c r="KDZ89"/>
      <c r="KEA89"/>
      <c r="KEB89"/>
      <c r="KEC89"/>
      <c r="KED89"/>
      <c r="KEE89"/>
      <c r="KEF89"/>
      <c r="KEG89"/>
      <c r="KEH89"/>
      <c r="KEI89"/>
      <c r="KEJ89"/>
      <c r="KEK89"/>
      <c r="KEL89"/>
      <c r="KEM89"/>
      <c r="KEN89"/>
      <c r="KEO89"/>
      <c r="KEP89"/>
      <c r="KEQ89"/>
      <c r="KER89"/>
      <c r="KES89"/>
      <c r="KET89"/>
      <c r="KEU89"/>
      <c r="KEV89"/>
      <c r="KEW89"/>
      <c r="KEX89"/>
      <c r="KEY89"/>
      <c r="KEZ89"/>
      <c r="KFA89"/>
      <c r="KFB89"/>
      <c r="KFC89"/>
      <c r="KFD89"/>
      <c r="KFE89"/>
      <c r="KFF89"/>
      <c r="KFG89"/>
      <c r="KFH89"/>
      <c r="KFI89"/>
      <c r="KFJ89"/>
      <c r="KFK89"/>
      <c r="KFL89"/>
      <c r="KFM89"/>
      <c r="KFN89"/>
      <c r="KFO89"/>
      <c r="KFP89"/>
      <c r="KFQ89"/>
      <c r="KFR89"/>
      <c r="KFS89"/>
      <c r="KFT89"/>
      <c r="KFU89"/>
      <c r="KFV89"/>
      <c r="KFW89"/>
      <c r="KFX89"/>
      <c r="KFY89"/>
      <c r="KFZ89"/>
      <c r="KGA89"/>
      <c r="KGB89"/>
      <c r="KGC89"/>
      <c r="KGD89"/>
      <c r="KGE89"/>
      <c r="KGF89"/>
      <c r="KGG89"/>
      <c r="KGH89"/>
      <c r="KGI89"/>
      <c r="KGJ89"/>
      <c r="KGK89"/>
      <c r="KGL89"/>
      <c r="KGM89"/>
      <c r="KGN89"/>
      <c r="KGO89"/>
      <c r="KGP89"/>
      <c r="KGQ89"/>
      <c r="KGR89"/>
      <c r="KGS89"/>
      <c r="KGT89"/>
      <c r="KGU89"/>
      <c r="KGV89"/>
      <c r="KGW89"/>
      <c r="KGX89"/>
      <c r="KGY89"/>
      <c r="KGZ89"/>
      <c r="KHA89"/>
      <c r="KHB89"/>
      <c r="KHC89"/>
      <c r="KHD89"/>
      <c r="KHE89"/>
      <c r="KHF89"/>
      <c r="KHG89"/>
      <c r="KHH89"/>
      <c r="KHI89"/>
      <c r="KHJ89"/>
      <c r="KHK89"/>
      <c r="KHL89"/>
      <c r="KHM89"/>
      <c r="KHN89"/>
      <c r="KHO89"/>
      <c r="KHP89"/>
      <c r="KHQ89"/>
      <c r="KHR89"/>
      <c r="KHS89"/>
      <c r="KHT89"/>
      <c r="KHU89"/>
      <c r="KHV89"/>
      <c r="KHW89"/>
      <c r="KHX89"/>
      <c r="KHY89"/>
      <c r="KHZ89"/>
      <c r="KIA89"/>
      <c r="KIB89"/>
      <c r="KIC89"/>
      <c r="KID89"/>
      <c r="KIE89"/>
      <c r="KIF89"/>
      <c r="KIG89"/>
      <c r="KIH89"/>
      <c r="KII89"/>
      <c r="KIJ89"/>
      <c r="KIK89"/>
      <c r="KIL89"/>
      <c r="KIM89"/>
      <c r="KIN89"/>
      <c r="KIO89"/>
      <c r="KIP89"/>
      <c r="KIQ89"/>
      <c r="KIR89"/>
      <c r="KIS89"/>
      <c r="KIT89"/>
      <c r="KIU89"/>
      <c r="KIV89"/>
      <c r="KIW89"/>
      <c r="KIX89"/>
      <c r="KIY89"/>
      <c r="KIZ89"/>
      <c r="KJA89"/>
      <c r="KJB89"/>
      <c r="KJC89"/>
      <c r="KJD89"/>
      <c r="KJE89"/>
      <c r="KJF89"/>
      <c r="KJG89"/>
      <c r="KJH89"/>
      <c r="KJI89"/>
      <c r="KJJ89"/>
      <c r="KJK89"/>
      <c r="KJL89"/>
      <c r="KJM89"/>
      <c r="KJN89"/>
      <c r="KJO89"/>
      <c r="KJP89"/>
      <c r="KJQ89"/>
      <c r="KJR89"/>
      <c r="KJS89"/>
      <c r="KJT89"/>
      <c r="KJU89"/>
      <c r="KJV89"/>
      <c r="KJW89"/>
      <c r="KJX89"/>
      <c r="KJY89"/>
      <c r="KJZ89"/>
      <c r="KKA89"/>
      <c r="KKB89"/>
      <c r="KKC89"/>
      <c r="KKD89"/>
      <c r="KKE89"/>
      <c r="KKF89"/>
      <c r="KKG89"/>
      <c r="KKH89"/>
      <c r="KKI89"/>
      <c r="KKJ89"/>
      <c r="KKK89"/>
      <c r="KKL89"/>
      <c r="KKM89"/>
      <c r="KKN89"/>
      <c r="KKO89"/>
      <c r="KKP89"/>
      <c r="KKQ89"/>
      <c r="KKR89"/>
      <c r="KKS89"/>
      <c r="KKT89"/>
      <c r="KKU89"/>
      <c r="KKV89"/>
      <c r="KKW89"/>
      <c r="KKX89"/>
      <c r="KKY89"/>
      <c r="KKZ89"/>
      <c r="KLA89"/>
      <c r="KLB89"/>
      <c r="KLC89"/>
      <c r="KLD89"/>
      <c r="KLE89"/>
      <c r="KLF89"/>
      <c r="KLG89"/>
      <c r="KLH89"/>
      <c r="KLI89"/>
      <c r="KLJ89"/>
      <c r="KLK89"/>
      <c r="KLL89"/>
      <c r="KLM89"/>
      <c r="KLN89"/>
      <c r="KLO89"/>
      <c r="KLP89"/>
      <c r="KLQ89"/>
      <c r="KLR89"/>
      <c r="KLS89"/>
      <c r="KLT89"/>
      <c r="KLU89"/>
      <c r="KLV89"/>
      <c r="KLW89"/>
      <c r="KLX89"/>
      <c r="KLY89"/>
      <c r="KLZ89"/>
      <c r="KMA89"/>
      <c r="KMB89"/>
      <c r="KMC89"/>
      <c r="KMD89"/>
      <c r="KME89"/>
      <c r="KMF89"/>
      <c r="KMG89"/>
      <c r="KMH89"/>
      <c r="KMI89"/>
      <c r="KMJ89"/>
      <c r="KMK89"/>
      <c r="KML89"/>
      <c r="KMM89"/>
      <c r="KMN89"/>
      <c r="KMO89"/>
      <c r="KMP89"/>
      <c r="KMQ89"/>
      <c r="KMR89"/>
      <c r="KMS89"/>
      <c r="KMT89"/>
      <c r="KMU89"/>
      <c r="KMV89"/>
      <c r="KMW89"/>
      <c r="KMX89"/>
      <c r="KMY89"/>
      <c r="KMZ89"/>
      <c r="KNA89"/>
      <c r="KNB89"/>
      <c r="KNC89"/>
      <c r="KND89"/>
      <c r="KNE89"/>
      <c r="KNF89"/>
      <c r="KNG89"/>
      <c r="KNH89"/>
      <c r="KNI89"/>
      <c r="KNJ89"/>
      <c r="KNK89"/>
      <c r="KNL89"/>
      <c r="KNM89"/>
      <c r="KNN89"/>
      <c r="KNO89"/>
      <c r="KNP89"/>
      <c r="KNQ89"/>
      <c r="KNR89"/>
      <c r="KNS89"/>
      <c r="KNT89"/>
      <c r="KNU89"/>
      <c r="KNV89"/>
      <c r="KNW89"/>
      <c r="KNX89"/>
      <c r="KNY89"/>
      <c r="KNZ89"/>
      <c r="KOA89"/>
      <c r="KOB89"/>
      <c r="KOC89"/>
      <c r="KOD89"/>
      <c r="KOE89"/>
      <c r="KOF89"/>
      <c r="KOG89"/>
      <c r="KOH89"/>
      <c r="KOI89"/>
      <c r="KOJ89"/>
      <c r="KOK89"/>
      <c r="KOL89"/>
      <c r="KOM89"/>
      <c r="KON89"/>
      <c r="KOO89"/>
      <c r="KOP89"/>
      <c r="KOQ89"/>
      <c r="KOR89"/>
      <c r="KOS89"/>
      <c r="KOT89"/>
      <c r="KOU89"/>
      <c r="KOV89"/>
      <c r="KOW89"/>
      <c r="KOX89"/>
      <c r="KOY89"/>
      <c r="KOZ89"/>
      <c r="KPA89"/>
      <c r="KPB89"/>
      <c r="KPC89"/>
      <c r="KPD89"/>
      <c r="KPE89"/>
      <c r="KPF89"/>
      <c r="KPG89"/>
      <c r="KPH89"/>
      <c r="KPI89"/>
      <c r="KPJ89"/>
      <c r="KPK89"/>
      <c r="KPL89"/>
      <c r="KPM89"/>
      <c r="KPN89"/>
      <c r="KPO89"/>
      <c r="KPP89"/>
      <c r="KPQ89"/>
      <c r="KPR89"/>
      <c r="KPS89"/>
      <c r="KPT89"/>
      <c r="KPU89"/>
      <c r="KPV89"/>
      <c r="KPW89"/>
      <c r="KPX89"/>
      <c r="KPY89"/>
      <c r="KPZ89"/>
      <c r="KQA89"/>
      <c r="KQB89"/>
      <c r="KQC89"/>
      <c r="KQD89"/>
      <c r="KQE89"/>
      <c r="KQF89"/>
      <c r="KQG89"/>
      <c r="KQH89"/>
      <c r="KQI89"/>
      <c r="KQJ89"/>
      <c r="KQK89"/>
      <c r="KQL89"/>
      <c r="KQM89"/>
      <c r="KQN89"/>
      <c r="KQO89"/>
      <c r="KQP89"/>
      <c r="KQQ89"/>
      <c r="KQR89"/>
      <c r="KQS89"/>
      <c r="KQT89"/>
      <c r="KQU89"/>
      <c r="KQV89"/>
      <c r="KQW89"/>
      <c r="KQX89"/>
      <c r="KQY89"/>
      <c r="KQZ89"/>
      <c r="KRA89"/>
      <c r="KRB89"/>
      <c r="KRC89"/>
      <c r="KRD89"/>
      <c r="KRE89"/>
      <c r="KRF89"/>
      <c r="KRG89"/>
      <c r="KRH89"/>
      <c r="KRI89"/>
      <c r="KRJ89"/>
      <c r="KRK89"/>
      <c r="KRL89"/>
      <c r="KRM89"/>
      <c r="KRN89"/>
      <c r="KRO89"/>
      <c r="KRP89"/>
      <c r="KRQ89"/>
      <c r="KRR89"/>
      <c r="KRS89"/>
      <c r="KRT89"/>
      <c r="KRU89"/>
      <c r="KRV89"/>
      <c r="KRW89"/>
      <c r="KRX89"/>
      <c r="KRY89"/>
      <c r="KRZ89"/>
      <c r="KSA89"/>
      <c r="KSB89"/>
      <c r="KSC89"/>
      <c r="KSD89"/>
      <c r="KSE89"/>
      <c r="KSF89"/>
      <c r="KSG89"/>
      <c r="KSH89"/>
      <c r="KSI89"/>
      <c r="KSJ89"/>
      <c r="KSK89"/>
      <c r="KSL89"/>
      <c r="KSM89"/>
      <c r="KSN89"/>
      <c r="KSO89"/>
      <c r="KSP89"/>
      <c r="KSQ89"/>
      <c r="KSR89"/>
      <c r="KSS89"/>
      <c r="KST89"/>
      <c r="KSU89"/>
      <c r="KSV89"/>
      <c r="KSW89"/>
      <c r="KSX89"/>
      <c r="KSY89"/>
      <c r="KSZ89"/>
      <c r="KTA89"/>
      <c r="KTB89"/>
      <c r="KTC89"/>
      <c r="KTD89"/>
      <c r="KTE89"/>
      <c r="KTF89"/>
      <c r="KTG89"/>
      <c r="KTH89"/>
      <c r="KTI89"/>
      <c r="KTJ89"/>
      <c r="KTK89"/>
      <c r="KTL89"/>
      <c r="KTM89"/>
      <c r="KTN89"/>
      <c r="KTO89"/>
      <c r="KTP89"/>
      <c r="KTQ89"/>
      <c r="KTR89"/>
      <c r="KTS89"/>
      <c r="KTT89"/>
      <c r="KTU89"/>
      <c r="KTV89"/>
      <c r="KTW89"/>
      <c r="KTX89"/>
      <c r="KTY89"/>
      <c r="KTZ89"/>
      <c r="KUA89"/>
      <c r="KUB89"/>
      <c r="KUC89"/>
      <c r="KUD89"/>
      <c r="KUE89"/>
      <c r="KUF89"/>
      <c r="KUG89"/>
      <c r="KUH89"/>
      <c r="KUI89"/>
      <c r="KUJ89"/>
      <c r="KUK89"/>
      <c r="KUL89"/>
      <c r="KUM89"/>
      <c r="KUN89"/>
      <c r="KUO89"/>
      <c r="KUP89"/>
      <c r="KUQ89"/>
      <c r="KUR89"/>
      <c r="KUS89"/>
      <c r="KUT89"/>
      <c r="KUU89"/>
      <c r="KUV89"/>
      <c r="KUW89"/>
      <c r="KUX89"/>
      <c r="KUY89"/>
      <c r="KUZ89"/>
      <c r="KVA89"/>
      <c r="KVB89"/>
      <c r="KVC89"/>
      <c r="KVD89"/>
      <c r="KVE89"/>
      <c r="KVF89"/>
      <c r="KVG89"/>
      <c r="KVH89"/>
      <c r="KVI89"/>
      <c r="KVJ89"/>
      <c r="KVK89"/>
      <c r="KVL89"/>
      <c r="KVM89"/>
      <c r="KVN89"/>
      <c r="KVO89"/>
      <c r="KVP89"/>
      <c r="KVQ89"/>
      <c r="KVR89"/>
      <c r="KVS89"/>
      <c r="KVT89"/>
      <c r="KVU89"/>
      <c r="KVV89"/>
      <c r="KVW89"/>
      <c r="KVX89"/>
      <c r="KVY89"/>
      <c r="KVZ89"/>
      <c r="KWA89"/>
      <c r="KWB89"/>
      <c r="KWC89"/>
      <c r="KWD89"/>
      <c r="KWE89"/>
      <c r="KWF89"/>
      <c r="KWG89"/>
      <c r="KWH89"/>
      <c r="KWI89"/>
      <c r="KWJ89"/>
      <c r="KWK89"/>
      <c r="KWL89"/>
      <c r="KWM89"/>
      <c r="KWN89"/>
      <c r="KWO89"/>
      <c r="KWP89"/>
      <c r="KWQ89"/>
      <c r="KWR89"/>
      <c r="KWS89"/>
      <c r="KWT89"/>
      <c r="KWU89"/>
      <c r="KWV89"/>
      <c r="KWW89"/>
      <c r="KWX89"/>
      <c r="KWY89"/>
      <c r="KWZ89"/>
      <c r="KXA89"/>
      <c r="KXB89"/>
      <c r="KXC89"/>
      <c r="KXD89"/>
      <c r="KXE89"/>
      <c r="KXF89"/>
      <c r="KXG89"/>
      <c r="KXH89"/>
      <c r="KXI89"/>
      <c r="KXJ89"/>
      <c r="KXK89"/>
      <c r="KXL89"/>
      <c r="KXM89"/>
      <c r="KXN89"/>
      <c r="KXO89"/>
      <c r="KXP89"/>
      <c r="KXQ89"/>
      <c r="KXR89"/>
      <c r="KXS89"/>
      <c r="KXT89"/>
      <c r="KXU89"/>
      <c r="KXV89"/>
      <c r="KXW89"/>
      <c r="KXX89"/>
      <c r="KXY89"/>
      <c r="KXZ89"/>
      <c r="KYA89"/>
      <c r="KYB89"/>
      <c r="KYC89"/>
      <c r="KYD89"/>
      <c r="KYE89"/>
      <c r="KYF89"/>
      <c r="KYG89"/>
      <c r="KYH89"/>
      <c r="KYI89"/>
      <c r="KYJ89"/>
      <c r="KYK89"/>
      <c r="KYL89"/>
      <c r="KYM89"/>
      <c r="KYN89"/>
      <c r="KYO89"/>
      <c r="KYP89"/>
      <c r="KYQ89"/>
      <c r="KYR89"/>
      <c r="KYS89"/>
      <c r="KYT89"/>
      <c r="KYU89"/>
      <c r="KYV89"/>
      <c r="KYW89"/>
      <c r="KYX89"/>
      <c r="KYY89"/>
      <c r="KYZ89"/>
      <c r="KZA89"/>
      <c r="KZB89"/>
      <c r="KZC89"/>
      <c r="KZD89"/>
      <c r="KZE89"/>
      <c r="KZF89"/>
      <c r="KZG89"/>
      <c r="KZH89"/>
      <c r="KZI89"/>
      <c r="KZJ89"/>
      <c r="KZK89"/>
      <c r="KZL89"/>
      <c r="KZM89"/>
      <c r="KZN89"/>
      <c r="KZO89"/>
      <c r="KZP89"/>
      <c r="KZQ89"/>
      <c r="KZR89"/>
      <c r="KZS89"/>
      <c r="KZT89"/>
      <c r="KZU89"/>
      <c r="KZV89"/>
      <c r="KZW89"/>
      <c r="KZX89"/>
      <c r="KZY89"/>
      <c r="KZZ89"/>
      <c r="LAA89"/>
      <c r="LAB89"/>
      <c r="LAC89"/>
      <c r="LAD89"/>
      <c r="LAE89"/>
      <c r="LAF89"/>
      <c r="LAG89"/>
      <c r="LAH89"/>
      <c r="LAI89"/>
      <c r="LAJ89"/>
      <c r="LAK89"/>
      <c r="LAL89"/>
      <c r="LAM89"/>
      <c r="LAN89"/>
      <c r="LAO89"/>
      <c r="LAP89"/>
      <c r="LAQ89"/>
      <c r="LAR89"/>
      <c r="LAS89"/>
      <c r="LAT89"/>
      <c r="LAU89"/>
      <c r="LAV89"/>
      <c r="LAW89"/>
      <c r="LAX89"/>
      <c r="LAY89"/>
      <c r="LAZ89"/>
      <c r="LBA89"/>
      <c r="LBB89"/>
      <c r="LBC89"/>
      <c r="LBD89"/>
      <c r="LBE89"/>
      <c r="LBF89"/>
      <c r="LBG89"/>
      <c r="LBH89"/>
      <c r="LBI89"/>
      <c r="LBJ89"/>
      <c r="LBK89"/>
      <c r="LBL89"/>
      <c r="LBM89"/>
      <c r="LBN89"/>
      <c r="LBO89"/>
      <c r="LBP89"/>
      <c r="LBQ89"/>
      <c r="LBR89"/>
      <c r="LBS89"/>
      <c r="LBT89"/>
      <c r="LBU89"/>
      <c r="LBV89"/>
      <c r="LBW89"/>
      <c r="LBX89"/>
      <c r="LBY89"/>
      <c r="LBZ89"/>
      <c r="LCA89"/>
      <c r="LCB89"/>
      <c r="LCC89"/>
      <c r="LCD89"/>
      <c r="LCE89"/>
      <c r="LCF89"/>
      <c r="LCG89"/>
      <c r="LCH89"/>
      <c r="LCI89"/>
      <c r="LCJ89"/>
      <c r="LCK89"/>
      <c r="LCL89"/>
      <c r="LCM89"/>
      <c r="LCN89"/>
      <c r="LCO89"/>
      <c r="LCP89"/>
      <c r="LCQ89"/>
      <c r="LCR89"/>
      <c r="LCS89"/>
      <c r="LCT89"/>
      <c r="LCU89"/>
      <c r="LCV89"/>
      <c r="LCW89"/>
      <c r="LCX89"/>
      <c r="LCY89"/>
      <c r="LCZ89"/>
      <c r="LDA89"/>
      <c r="LDB89"/>
      <c r="LDC89"/>
      <c r="LDD89"/>
      <c r="LDE89"/>
      <c r="LDF89"/>
      <c r="LDG89"/>
      <c r="LDH89"/>
      <c r="LDI89"/>
      <c r="LDJ89"/>
      <c r="LDK89"/>
      <c r="LDL89"/>
      <c r="LDM89"/>
      <c r="LDN89"/>
      <c r="LDO89"/>
      <c r="LDP89"/>
      <c r="LDQ89"/>
      <c r="LDR89"/>
      <c r="LDS89"/>
      <c r="LDT89"/>
      <c r="LDU89"/>
      <c r="LDV89"/>
      <c r="LDW89"/>
      <c r="LDX89"/>
      <c r="LDY89"/>
      <c r="LDZ89"/>
      <c r="LEA89"/>
      <c r="LEB89"/>
      <c r="LEC89"/>
      <c r="LED89"/>
      <c r="LEE89"/>
      <c r="LEF89"/>
      <c r="LEG89"/>
      <c r="LEH89"/>
      <c r="LEI89"/>
      <c r="LEJ89"/>
      <c r="LEK89"/>
      <c r="LEL89"/>
      <c r="LEM89"/>
      <c r="LEN89"/>
      <c r="LEO89"/>
      <c r="LEP89"/>
      <c r="LEQ89"/>
      <c r="LER89"/>
      <c r="LES89"/>
      <c r="LET89"/>
      <c r="LEU89"/>
      <c r="LEV89"/>
      <c r="LEW89"/>
      <c r="LEX89"/>
      <c r="LEY89"/>
      <c r="LEZ89"/>
      <c r="LFA89"/>
      <c r="LFB89"/>
      <c r="LFC89"/>
      <c r="LFD89"/>
      <c r="LFE89"/>
      <c r="LFF89"/>
      <c r="LFG89"/>
      <c r="LFH89"/>
      <c r="LFI89"/>
      <c r="LFJ89"/>
      <c r="LFK89"/>
      <c r="LFL89"/>
      <c r="LFM89"/>
      <c r="LFN89"/>
      <c r="LFO89"/>
      <c r="LFP89"/>
      <c r="LFQ89"/>
      <c r="LFR89"/>
      <c r="LFS89"/>
      <c r="LFT89"/>
      <c r="LFU89"/>
      <c r="LFV89"/>
      <c r="LFW89"/>
      <c r="LFX89"/>
      <c r="LFY89"/>
      <c r="LFZ89"/>
      <c r="LGA89"/>
      <c r="LGB89"/>
      <c r="LGC89"/>
      <c r="LGD89"/>
      <c r="LGE89"/>
      <c r="LGF89"/>
      <c r="LGG89"/>
      <c r="LGH89"/>
      <c r="LGI89"/>
      <c r="LGJ89"/>
      <c r="LGK89"/>
      <c r="LGL89"/>
      <c r="LGM89"/>
      <c r="LGN89"/>
      <c r="LGO89"/>
      <c r="LGP89"/>
      <c r="LGQ89"/>
      <c r="LGR89"/>
      <c r="LGS89"/>
      <c r="LGT89"/>
      <c r="LGU89"/>
      <c r="LGV89"/>
      <c r="LGW89"/>
      <c r="LGX89"/>
      <c r="LGY89"/>
      <c r="LGZ89"/>
      <c r="LHA89"/>
      <c r="LHB89"/>
      <c r="LHC89"/>
      <c r="LHD89"/>
      <c r="LHE89"/>
      <c r="LHF89"/>
      <c r="LHG89"/>
      <c r="LHH89"/>
      <c r="LHI89"/>
      <c r="LHJ89"/>
      <c r="LHK89"/>
      <c r="LHL89"/>
      <c r="LHM89"/>
      <c r="LHN89"/>
      <c r="LHO89"/>
      <c r="LHP89"/>
      <c r="LHQ89"/>
      <c r="LHR89"/>
      <c r="LHS89"/>
      <c r="LHT89"/>
      <c r="LHU89"/>
      <c r="LHV89"/>
      <c r="LHW89"/>
      <c r="LHX89"/>
      <c r="LHY89"/>
      <c r="LHZ89"/>
      <c r="LIA89"/>
      <c r="LIB89"/>
      <c r="LIC89"/>
      <c r="LID89"/>
      <c r="LIE89"/>
      <c r="LIF89"/>
      <c r="LIG89"/>
      <c r="LIH89"/>
      <c r="LII89"/>
      <c r="LIJ89"/>
      <c r="LIK89"/>
      <c r="LIL89"/>
      <c r="LIM89"/>
      <c r="LIN89"/>
      <c r="LIO89"/>
      <c r="LIP89"/>
      <c r="LIQ89"/>
      <c r="LIR89"/>
      <c r="LIS89"/>
      <c r="LIT89"/>
      <c r="LIU89"/>
      <c r="LIV89"/>
      <c r="LIW89"/>
      <c r="LIX89"/>
      <c r="LIY89"/>
      <c r="LIZ89"/>
      <c r="LJA89"/>
      <c r="LJB89"/>
      <c r="LJC89"/>
      <c r="LJD89"/>
      <c r="LJE89"/>
      <c r="LJF89"/>
      <c r="LJG89"/>
      <c r="LJH89"/>
      <c r="LJI89"/>
      <c r="LJJ89"/>
      <c r="LJK89"/>
      <c r="LJL89"/>
      <c r="LJM89"/>
      <c r="LJN89"/>
      <c r="LJO89"/>
      <c r="LJP89"/>
      <c r="LJQ89"/>
      <c r="LJR89"/>
      <c r="LJS89"/>
      <c r="LJT89"/>
      <c r="LJU89"/>
      <c r="LJV89"/>
      <c r="LJW89"/>
      <c r="LJX89"/>
      <c r="LJY89"/>
      <c r="LJZ89"/>
      <c r="LKA89"/>
      <c r="LKB89"/>
      <c r="LKC89"/>
      <c r="LKD89"/>
      <c r="LKE89"/>
      <c r="LKF89"/>
      <c r="LKG89"/>
      <c r="LKH89"/>
      <c r="LKI89"/>
      <c r="LKJ89"/>
      <c r="LKK89"/>
      <c r="LKL89"/>
      <c r="LKM89"/>
      <c r="LKN89"/>
      <c r="LKO89"/>
      <c r="LKP89"/>
      <c r="LKQ89"/>
      <c r="LKR89"/>
      <c r="LKS89"/>
      <c r="LKT89"/>
      <c r="LKU89"/>
      <c r="LKV89"/>
      <c r="LKW89"/>
      <c r="LKX89"/>
      <c r="LKY89"/>
      <c r="LKZ89"/>
      <c r="LLA89"/>
      <c r="LLB89"/>
      <c r="LLC89"/>
      <c r="LLD89"/>
      <c r="LLE89"/>
      <c r="LLF89"/>
      <c r="LLG89"/>
      <c r="LLH89"/>
      <c r="LLI89"/>
      <c r="LLJ89"/>
      <c r="LLK89"/>
      <c r="LLL89"/>
      <c r="LLM89"/>
      <c r="LLN89"/>
      <c r="LLO89"/>
      <c r="LLP89"/>
      <c r="LLQ89"/>
      <c r="LLR89"/>
      <c r="LLS89"/>
      <c r="LLT89"/>
      <c r="LLU89"/>
      <c r="LLV89"/>
      <c r="LLW89"/>
      <c r="LLX89"/>
      <c r="LLY89"/>
      <c r="LLZ89"/>
      <c r="LMA89"/>
      <c r="LMB89"/>
      <c r="LMC89"/>
      <c r="LMD89"/>
      <c r="LME89"/>
      <c r="LMF89"/>
      <c r="LMG89"/>
      <c r="LMH89"/>
      <c r="LMI89"/>
      <c r="LMJ89"/>
      <c r="LMK89"/>
      <c r="LML89"/>
      <c r="LMM89"/>
      <c r="LMN89"/>
      <c r="LMO89"/>
      <c r="LMP89"/>
      <c r="LMQ89"/>
      <c r="LMR89"/>
      <c r="LMS89"/>
      <c r="LMT89"/>
      <c r="LMU89"/>
      <c r="LMV89"/>
      <c r="LMW89"/>
      <c r="LMX89"/>
      <c r="LMY89"/>
      <c r="LMZ89"/>
      <c r="LNA89"/>
      <c r="LNB89"/>
      <c r="LNC89"/>
      <c r="LND89"/>
      <c r="LNE89"/>
      <c r="LNF89"/>
      <c r="LNG89"/>
      <c r="LNH89"/>
      <c r="LNI89"/>
      <c r="LNJ89"/>
      <c r="LNK89"/>
      <c r="LNL89"/>
      <c r="LNM89"/>
      <c r="LNN89"/>
      <c r="LNO89"/>
      <c r="LNP89"/>
      <c r="LNQ89"/>
      <c r="LNR89"/>
      <c r="LNS89"/>
      <c r="LNT89"/>
      <c r="LNU89"/>
      <c r="LNV89"/>
      <c r="LNW89"/>
      <c r="LNX89"/>
      <c r="LNY89"/>
      <c r="LNZ89"/>
      <c r="LOA89"/>
      <c r="LOB89"/>
      <c r="LOC89"/>
      <c r="LOD89"/>
      <c r="LOE89"/>
      <c r="LOF89"/>
      <c r="LOG89"/>
      <c r="LOH89"/>
      <c r="LOI89"/>
      <c r="LOJ89"/>
      <c r="LOK89"/>
      <c r="LOL89"/>
      <c r="LOM89"/>
      <c r="LON89"/>
      <c r="LOO89"/>
      <c r="LOP89"/>
      <c r="LOQ89"/>
      <c r="LOR89"/>
      <c r="LOS89"/>
      <c r="LOT89"/>
      <c r="LOU89"/>
      <c r="LOV89"/>
      <c r="LOW89"/>
      <c r="LOX89"/>
      <c r="LOY89"/>
      <c r="LOZ89"/>
      <c r="LPA89"/>
      <c r="LPB89"/>
      <c r="LPC89"/>
      <c r="LPD89"/>
      <c r="LPE89"/>
      <c r="LPF89"/>
      <c r="LPG89"/>
      <c r="LPH89"/>
      <c r="LPI89"/>
      <c r="LPJ89"/>
      <c r="LPK89"/>
      <c r="LPL89"/>
      <c r="LPM89"/>
      <c r="LPN89"/>
      <c r="LPO89"/>
      <c r="LPP89"/>
      <c r="LPQ89"/>
      <c r="LPR89"/>
      <c r="LPS89"/>
      <c r="LPT89"/>
      <c r="LPU89"/>
      <c r="LPV89"/>
      <c r="LPW89"/>
      <c r="LPX89"/>
      <c r="LPY89"/>
      <c r="LPZ89"/>
      <c r="LQA89"/>
      <c r="LQB89"/>
      <c r="LQC89"/>
      <c r="LQD89"/>
      <c r="LQE89"/>
      <c r="LQF89"/>
      <c r="LQG89"/>
      <c r="LQH89"/>
      <c r="LQI89"/>
      <c r="LQJ89"/>
      <c r="LQK89"/>
      <c r="LQL89"/>
      <c r="LQM89"/>
      <c r="LQN89"/>
      <c r="LQO89"/>
      <c r="LQP89"/>
      <c r="LQQ89"/>
      <c r="LQR89"/>
      <c r="LQS89"/>
      <c r="LQT89"/>
      <c r="LQU89"/>
      <c r="LQV89"/>
      <c r="LQW89"/>
      <c r="LQX89"/>
      <c r="LQY89"/>
      <c r="LQZ89"/>
      <c r="LRA89"/>
      <c r="LRB89"/>
      <c r="LRC89"/>
      <c r="LRD89"/>
      <c r="LRE89"/>
      <c r="LRF89"/>
      <c r="LRG89"/>
      <c r="LRH89"/>
      <c r="LRI89"/>
      <c r="LRJ89"/>
      <c r="LRK89"/>
      <c r="LRL89"/>
      <c r="LRM89"/>
      <c r="LRN89"/>
      <c r="LRO89"/>
      <c r="LRP89"/>
      <c r="LRQ89"/>
      <c r="LRR89"/>
      <c r="LRS89"/>
      <c r="LRT89"/>
      <c r="LRU89"/>
      <c r="LRV89"/>
      <c r="LRW89"/>
      <c r="LRX89"/>
      <c r="LRY89"/>
      <c r="LRZ89"/>
      <c r="LSA89"/>
      <c r="LSB89"/>
      <c r="LSC89"/>
      <c r="LSD89"/>
      <c r="LSE89"/>
      <c r="LSF89"/>
      <c r="LSG89"/>
      <c r="LSH89"/>
      <c r="LSI89"/>
      <c r="LSJ89"/>
      <c r="LSK89"/>
      <c r="LSL89"/>
      <c r="LSM89"/>
      <c r="LSN89"/>
      <c r="LSO89"/>
      <c r="LSP89"/>
      <c r="LSQ89"/>
      <c r="LSR89"/>
      <c r="LSS89"/>
      <c r="LST89"/>
      <c r="LSU89"/>
      <c r="LSV89"/>
      <c r="LSW89"/>
      <c r="LSX89"/>
      <c r="LSY89"/>
      <c r="LSZ89"/>
      <c r="LTA89"/>
      <c r="LTB89"/>
      <c r="LTC89"/>
      <c r="LTD89"/>
      <c r="LTE89"/>
      <c r="LTF89"/>
      <c r="LTG89"/>
      <c r="LTH89"/>
      <c r="LTI89"/>
      <c r="LTJ89"/>
      <c r="LTK89"/>
      <c r="LTL89"/>
      <c r="LTM89"/>
      <c r="LTN89"/>
      <c r="LTO89"/>
      <c r="LTP89"/>
      <c r="LTQ89"/>
      <c r="LTR89"/>
      <c r="LTS89"/>
      <c r="LTT89"/>
      <c r="LTU89"/>
      <c r="LTV89"/>
      <c r="LTW89"/>
      <c r="LTX89"/>
      <c r="LTY89"/>
      <c r="LTZ89"/>
      <c r="LUA89"/>
      <c r="LUB89"/>
      <c r="LUC89"/>
      <c r="LUD89"/>
      <c r="LUE89"/>
      <c r="LUF89"/>
      <c r="LUG89"/>
      <c r="LUH89"/>
      <c r="LUI89"/>
      <c r="LUJ89"/>
      <c r="LUK89"/>
      <c r="LUL89"/>
      <c r="LUM89"/>
      <c r="LUN89"/>
      <c r="LUO89"/>
      <c r="LUP89"/>
      <c r="LUQ89"/>
      <c r="LUR89"/>
      <c r="LUS89"/>
      <c r="LUT89"/>
      <c r="LUU89"/>
      <c r="LUV89"/>
      <c r="LUW89"/>
      <c r="LUX89"/>
      <c r="LUY89"/>
      <c r="LUZ89"/>
      <c r="LVA89"/>
      <c r="LVB89"/>
      <c r="LVC89"/>
      <c r="LVD89"/>
      <c r="LVE89"/>
      <c r="LVF89"/>
      <c r="LVG89"/>
      <c r="LVH89"/>
      <c r="LVI89"/>
      <c r="LVJ89"/>
      <c r="LVK89"/>
      <c r="LVL89"/>
      <c r="LVM89"/>
      <c r="LVN89"/>
      <c r="LVO89"/>
      <c r="LVP89"/>
      <c r="LVQ89"/>
      <c r="LVR89"/>
      <c r="LVS89"/>
      <c r="LVT89"/>
      <c r="LVU89"/>
      <c r="LVV89"/>
      <c r="LVW89"/>
      <c r="LVX89"/>
      <c r="LVY89"/>
      <c r="LVZ89"/>
      <c r="LWA89"/>
      <c r="LWB89"/>
      <c r="LWC89"/>
      <c r="LWD89"/>
      <c r="LWE89"/>
      <c r="LWF89"/>
      <c r="LWG89"/>
      <c r="LWH89"/>
      <c r="LWI89"/>
      <c r="LWJ89"/>
      <c r="LWK89"/>
      <c r="LWL89"/>
      <c r="LWM89"/>
      <c r="LWN89"/>
      <c r="LWO89"/>
      <c r="LWP89"/>
      <c r="LWQ89"/>
      <c r="LWR89"/>
      <c r="LWS89"/>
      <c r="LWT89"/>
      <c r="LWU89"/>
      <c r="LWV89"/>
      <c r="LWW89"/>
      <c r="LWX89"/>
      <c r="LWY89"/>
      <c r="LWZ89"/>
      <c r="LXA89"/>
      <c r="LXB89"/>
      <c r="LXC89"/>
      <c r="LXD89"/>
      <c r="LXE89"/>
      <c r="LXF89"/>
      <c r="LXG89"/>
      <c r="LXH89"/>
      <c r="LXI89"/>
      <c r="LXJ89"/>
      <c r="LXK89"/>
      <c r="LXL89"/>
      <c r="LXM89"/>
      <c r="LXN89"/>
      <c r="LXO89"/>
      <c r="LXP89"/>
      <c r="LXQ89"/>
      <c r="LXR89"/>
      <c r="LXS89"/>
      <c r="LXT89"/>
      <c r="LXU89"/>
      <c r="LXV89"/>
      <c r="LXW89"/>
      <c r="LXX89"/>
      <c r="LXY89"/>
      <c r="LXZ89"/>
      <c r="LYA89"/>
      <c r="LYB89"/>
      <c r="LYC89"/>
      <c r="LYD89"/>
      <c r="LYE89"/>
      <c r="LYF89"/>
      <c r="LYG89"/>
      <c r="LYH89"/>
      <c r="LYI89"/>
      <c r="LYJ89"/>
      <c r="LYK89"/>
      <c r="LYL89"/>
      <c r="LYM89"/>
      <c r="LYN89"/>
      <c r="LYO89"/>
      <c r="LYP89"/>
      <c r="LYQ89"/>
      <c r="LYR89"/>
      <c r="LYS89"/>
      <c r="LYT89"/>
      <c r="LYU89"/>
      <c r="LYV89"/>
      <c r="LYW89"/>
      <c r="LYX89"/>
      <c r="LYY89"/>
      <c r="LYZ89"/>
      <c r="LZA89"/>
      <c r="LZB89"/>
      <c r="LZC89"/>
      <c r="LZD89"/>
      <c r="LZE89"/>
      <c r="LZF89"/>
      <c r="LZG89"/>
      <c r="LZH89"/>
      <c r="LZI89"/>
      <c r="LZJ89"/>
      <c r="LZK89"/>
      <c r="LZL89"/>
      <c r="LZM89"/>
      <c r="LZN89"/>
      <c r="LZO89"/>
      <c r="LZP89"/>
      <c r="LZQ89"/>
      <c r="LZR89"/>
      <c r="LZS89"/>
      <c r="LZT89"/>
      <c r="LZU89"/>
      <c r="LZV89"/>
      <c r="LZW89"/>
      <c r="LZX89"/>
      <c r="LZY89"/>
      <c r="LZZ89"/>
      <c r="MAA89"/>
      <c r="MAB89"/>
      <c r="MAC89"/>
      <c r="MAD89"/>
      <c r="MAE89"/>
      <c r="MAF89"/>
      <c r="MAG89"/>
      <c r="MAH89"/>
      <c r="MAI89"/>
      <c r="MAJ89"/>
      <c r="MAK89"/>
      <c r="MAL89"/>
      <c r="MAM89"/>
      <c r="MAN89"/>
      <c r="MAO89"/>
      <c r="MAP89"/>
      <c r="MAQ89"/>
      <c r="MAR89"/>
      <c r="MAS89"/>
      <c r="MAT89"/>
      <c r="MAU89"/>
      <c r="MAV89"/>
      <c r="MAW89"/>
      <c r="MAX89"/>
      <c r="MAY89"/>
      <c r="MAZ89"/>
      <c r="MBA89"/>
      <c r="MBB89"/>
      <c r="MBC89"/>
      <c r="MBD89"/>
      <c r="MBE89"/>
      <c r="MBF89"/>
      <c r="MBG89"/>
      <c r="MBH89"/>
      <c r="MBI89"/>
      <c r="MBJ89"/>
      <c r="MBK89"/>
      <c r="MBL89"/>
      <c r="MBM89"/>
      <c r="MBN89"/>
      <c r="MBO89"/>
      <c r="MBP89"/>
      <c r="MBQ89"/>
      <c r="MBR89"/>
      <c r="MBS89"/>
      <c r="MBT89"/>
      <c r="MBU89"/>
      <c r="MBV89"/>
      <c r="MBW89"/>
      <c r="MBX89"/>
      <c r="MBY89"/>
      <c r="MBZ89"/>
      <c r="MCA89"/>
      <c r="MCB89"/>
      <c r="MCC89"/>
      <c r="MCD89"/>
      <c r="MCE89"/>
      <c r="MCF89"/>
      <c r="MCG89"/>
      <c r="MCH89"/>
      <c r="MCI89"/>
      <c r="MCJ89"/>
      <c r="MCK89"/>
      <c r="MCL89"/>
      <c r="MCM89"/>
      <c r="MCN89"/>
      <c r="MCO89"/>
      <c r="MCP89"/>
      <c r="MCQ89"/>
      <c r="MCR89"/>
      <c r="MCS89"/>
      <c r="MCT89"/>
      <c r="MCU89"/>
      <c r="MCV89"/>
      <c r="MCW89"/>
      <c r="MCX89"/>
      <c r="MCY89"/>
      <c r="MCZ89"/>
      <c r="MDA89"/>
      <c r="MDB89"/>
      <c r="MDC89"/>
      <c r="MDD89"/>
      <c r="MDE89"/>
      <c r="MDF89"/>
      <c r="MDG89"/>
      <c r="MDH89"/>
      <c r="MDI89"/>
      <c r="MDJ89"/>
      <c r="MDK89"/>
      <c r="MDL89"/>
      <c r="MDM89"/>
      <c r="MDN89"/>
      <c r="MDO89"/>
      <c r="MDP89"/>
      <c r="MDQ89"/>
      <c r="MDR89"/>
      <c r="MDS89"/>
      <c r="MDT89"/>
      <c r="MDU89"/>
      <c r="MDV89"/>
      <c r="MDW89"/>
      <c r="MDX89"/>
      <c r="MDY89"/>
      <c r="MDZ89"/>
      <c r="MEA89"/>
      <c r="MEB89"/>
      <c r="MEC89"/>
      <c r="MED89"/>
      <c r="MEE89"/>
      <c r="MEF89"/>
      <c r="MEG89"/>
      <c r="MEH89"/>
      <c r="MEI89"/>
      <c r="MEJ89"/>
      <c r="MEK89"/>
      <c r="MEL89"/>
      <c r="MEM89"/>
      <c r="MEN89"/>
      <c r="MEO89"/>
      <c r="MEP89"/>
      <c r="MEQ89"/>
      <c r="MER89"/>
      <c r="MES89"/>
      <c r="MET89"/>
      <c r="MEU89"/>
      <c r="MEV89"/>
      <c r="MEW89"/>
      <c r="MEX89"/>
      <c r="MEY89"/>
      <c r="MEZ89"/>
      <c r="MFA89"/>
      <c r="MFB89"/>
      <c r="MFC89"/>
      <c r="MFD89"/>
      <c r="MFE89"/>
      <c r="MFF89"/>
      <c r="MFG89"/>
      <c r="MFH89"/>
      <c r="MFI89"/>
      <c r="MFJ89"/>
      <c r="MFK89"/>
      <c r="MFL89"/>
      <c r="MFM89"/>
      <c r="MFN89"/>
      <c r="MFO89"/>
      <c r="MFP89"/>
      <c r="MFQ89"/>
      <c r="MFR89"/>
      <c r="MFS89"/>
      <c r="MFT89"/>
      <c r="MFU89"/>
      <c r="MFV89"/>
      <c r="MFW89"/>
      <c r="MFX89"/>
      <c r="MFY89"/>
      <c r="MFZ89"/>
      <c r="MGA89"/>
      <c r="MGB89"/>
      <c r="MGC89"/>
      <c r="MGD89"/>
      <c r="MGE89"/>
      <c r="MGF89"/>
      <c r="MGG89"/>
      <c r="MGH89"/>
      <c r="MGI89"/>
      <c r="MGJ89"/>
      <c r="MGK89"/>
      <c r="MGL89"/>
      <c r="MGM89"/>
      <c r="MGN89"/>
      <c r="MGO89"/>
      <c r="MGP89"/>
      <c r="MGQ89"/>
      <c r="MGR89"/>
      <c r="MGS89"/>
      <c r="MGT89"/>
      <c r="MGU89"/>
      <c r="MGV89"/>
      <c r="MGW89"/>
      <c r="MGX89"/>
      <c r="MGY89"/>
      <c r="MGZ89"/>
      <c r="MHA89"/>
      <c r="MHB89"/>
      <c r="MHC89"/>
      <c r="MHD89"/>
      <c r="MHE89"/>
      <c r="MHF89"/>
      <c r="MHG89"/>
      <c r="MHH89"/>
      <c r="MHI89"/>
      <c r="MHJ89"/>
      <c r="MHK89"/>
      <c r="MHL89"/>
      <c r="MHM89"/>
      <c r="MHN89"/>
      <c r="MHO89"/>
      <c r="MHP89"/>
      <c r="MHQ89"/>
      <c r="MHR89"/>
      <c r="MHS89"/>
      <c r="MHT89"/>
      <c r="MHU89"/>
      <c r="MHV89"/>
      <c r="MHW89"/>
      <c r="MHX89"/>
      <c r="MHY89"/>
      <c r="MHZ89"/>
      <c r="MIA89"/>
      <c r="MIB89"/>
      <c r="MIC89"/>
      <c r="MID89"/>
      <c r="MIE89"/>
      <c r="MIF89"/>
      <c r="MIG89"/>
      <c r="MIH89"/>
      <c r="MII89"/>
      <c r="MIJ89"/>
      <c r="MIK89"/>
      <c r="MIL89"/>
      <c r="MIM89"/>
      <c r="MIN89"/>
      <c r="MIO89"/>
      <c r="MIP89"/>
      <c r="MIQ89"/>
      <c r="MIR89"/>
      <c r="MIS89"/>
      <c r="MIT89"/>
      <c r="MIU89"/>
      <c r="MIV89"/>
      <c r="MIW89"/>
      <c r="MIX89"/>
      <c r="MIY89"/>
      <c r="MIZ89"/>
      <c r="MJA89"/>
      <c r="MJB89"/>
      <c r="MJC89"/>
      <c r="MJD89"/>
      <c r="MJE89"/>
      <c r="MJF89"/>
      <c r="MJG89"/>
      <c r="MJH89"/>
      <c r="MJI89"/>
      <c r="MJJ89"/>
      <c r="MJK89"/>
      <c r="MJL89"/>
      <c r="MJM89"/>
      <c r="MJN89"/>
      <c r="MJO89"/>
      <c r="MJP89"/>
      <c r="MJQ89"/>
      <c r="MJR89"/>
      <c r="MJS89"/>
      <c r="MJT89"/>
      <c r="MJU89"/>
      <c r="MJV89"/>
      <c r="MJW89"/>
      <c r="MJX89"/>
      <c r="MJY89"/>
      <c r="MJZ89"/>
      <c r="MKA89"/>
      <c r="MKB89"/>
      <c r="MKC89"/>
      <c r="MKD89"/>
      <c r="MKE89"/>
      <c r="MKF89"/>
      <c r="MKG89"/>
      <c r="MKH89"/>
      <c r="MKI89"/>
      <c r="MKJ89"/>
      <c r="MKK89"/>
      <c r="MKL89"/>
      <c r="MKM89"/>
      <c r="MKN89"/>
      <c r="MKO89"/>
      <c r="MKP89"/>
      <c r="MKQ89"/>
      <c r="MKR89"/>
      <c r="MKS89"/>
      <c r="MKT89"/>
      <c r="MKU89"/>
      <c r="MKV89"/>
      <c r="MKW89"/>
      <c r="MKX89"/>
      <c r="MKY89"/>
      <c r="MKZ89"/>
      <c r="MLA89"/>
      <c r="MLB89"/>
      <c r="MLC89"/>
      <c r="MLD89"/>
      <c r="MLE89"/>
      <c r="MLF89"/>
      <c r="MLG89"/>
      <c r="MLH89"/>
      <c r="MLI89"/>
      <c r="MLJ89"/>
      <c r="MLK89"/>
      <c r="MLL89"/>
      <c r="MLM89"/>
      <c r="MLN89"/>
      <c r="MLO89"/>
      <c r="MLP89"/>
      <c r="MLQ89"/>
      <c r="MLR89"/>
      <c r="MLS89"/>
      <c r="MLT89"/>
      <c r="MLU89"/>
      <c r="MLV89"/>
      <c r="MLW89"/>
      <c r="MLX89"/>
      <c r="MLY89"/>
      <c r="MLZ89"/>
      <c r="MMA89"/>
      <c r="MMB89"/>
      <c r="MMC89"/>
      <c r="MMD89"/>
      <c r="MME89"/>
      <c r="MMF89"/>
      <c r="MMG89"/>
      <c r="MMH89"/>
      <c r="MMI89"/>
      <c r="MMJ89"/>
      <c r="MMK89"/>
      <c r="MML89"/>
      <c r="MMM89"/>
      <c r="MMN89"/>
      <c r="MMO89"/>
      <c r="MMP89"/>
      <c r="MMQ89"/>
      <c r="MMR89"/>
      <c r="MMS89"/>
      <c r="MMT89"/>
      <c r="MMU89"/>
      <c r="MMV89"/>
      <c r="MMW89"/>
      <c r="MMX89"/>
      <c r="MMY89"/>
      <c r="MMZ89"/>
      <c r="MNA89"/>
      <c r="MNB89"/>
      <c r="MNC89"/>
      <c r="MND89"/>
      <c r="MNE89"/>
      <c r="MNF89"/>
      <c r="MNG89"/>
      <c r="MNH89"/>
      <c r="MNI89"/>
      <c r="MNJ89"/>
      <c r="MNK89"/>
      <c r="MNL89"/>
      <c r="MNM89"/>
      <c r="MNN89"/>
      <c r="MNO89"/>
      <c r="MNP89"/>
      <c r="MNQ89"/>
      <c r="MNR89"/>
      <c r="MNS89"/>
      <c r="MNT89"/>
      <c r="MNU89"/>
      <c r="MNV89"/>
      <c r="MNW89"/>
      <c r="MNX89"/>
      <c r="MNY89"/>
      <c r="MNZ89"/>
      <c r="MOA89"/>
      <c r="MOB89"/>
      <c r="MOC89"/>
      <c r="MOD89"/>
      <c r="MOE89"/>
      <c r="MOF89"/>
      <c r="MOG89"/>
      <c r="MOH89"/>
      <c r="MOI89"/>
      <c r="MOJ89"/>
      <c r="MOK89"/>
      <c r="MOL89"/>
      <c r="MOM89"/>
      <c r="MON89"/>
      <c r="MOO89"/>
      <c r="MOP89"/>
      <c r="MOQ89"/>
      <c r="MOR89"/>
      <c r="MOS89"/>
      <c r="MOT89"/>
      <c r="MOU89"/>
      <c r="MOV89"/>
      <c r="MOW89"/>
      <c r="MOX89"/>
      <c r="MOY89"/>
      <c r="MOZ89"/>
      <c r="MPA89"/>
      <c r="MPB89"/>
      <c r="MPC89"/>
      <c r="MPD89"/>
      <c r="MPE89"/>
      <c r="MPF89"/>
      <c r="MPG89"/>
      <c r="MPH89"/>
      <c r="MPI89"/>
      <c r="MPJ89"/>
      <c r="MPK89"/>
      <c r="MPL89"/>
      <c r="MPM89"/>
      <c r="MPN89"/>
      <c r="MPO89"/>
      <c r="MPP89"/>
      <c r="MPQ89"/>
      <c r="MPR89"/>
      <c r="MPS89"/>
      <c r="MPT89"/>
      <c r="MPU89"/>
      <c r="MPV89"/>
      <c r="MPW89"/>
      <c r="MPX89"/>
      <c r="MPY89"/>
      <c r="MPZ89"/>
      <c r="MQA89"/>
      <c r="MQB89"/>
      <c r="MQC89"/>
      <c r="MQD89"/>
      <c r="MQE89"/>
      <c r="MQF89"/>
      <c r="MQG89"/>
      <c r="MQH89"/>
      <c r="MQI89"/>
      <c r="MQJ89"/>
      <c r="MQK89"/>
      <c r="MQL89"/>
      <c r="MQM89"/>
      <c r="MQN89"/>
      <c r="MQO89"/>
      <c r="MQP89"/>
      <c r="MQQ89"/>
      <c r="MQR89"/>
      <c r="MQS89"/>
      <c r="MQT89"/>
      <c r="MQU89"/>
      <c r="MQV89"/>
      <c r="MQW89"/>
      <c r="MQX89"/>
      <c r="MQY89"/>
      <c r="MQZ89"/>
      <c r="MRA89"/>
      <c r="MRB89"/>
      <c r="MRC89"/>
      <c r="MRD89"/>
      <c r="MRE89"/>
      <c r="MRF89"/>
      <c r="MRG89"/>
      <c r="MRH89"/>
      <c r="MRI89"/>
      <c r="MRJ89"/>
      <c r="MRK89"/>
      <c r="MRL89"/>
      <c r="MRM89"/>
      <c r="MRN89"/>
      <c r="MRO89"/>
      <c r="MRP89"/>
      <c r="MRQ89"/>
      <c r="MRR89"/>
      <c r="MRS89"/>
      <c r="MRT89"/>
      <c r="MRU89"/>
      <c r="MRV89"/>
      <c r="MRW89"/>
      <c r="MRX89"/>
      <c r="MRY89"/>
      <c r="MRZ89"/>
      <c r="MSA89"/>
      <c r="MSB89"/>
      <c r="MSC89"/>
      <c r="MSD89"/>
      <c r="MSE89"/>
      <c r="MSF89"/>
      <c r="MSG89"/>
      <c r="MSH89"/>
      <c r="MSI89"/>
      <c r="MSJ89"/>
      <c r="MSK89"/>
      <c r="MSL89"/>
      <c r="MSM89"/>
      <c r="MSN89"/>
      <c r="MSO89"/>
      <c r="MSP89"/>
      <c r="MSQ89"/>
      <c r="MSR89"/>
      <c r="MSS89"/>
      <c r="MST89"/>
      <c r="MSU89"/>
      <c r="MSV89"/>
      <c r="MSW89"/>
      <c r="MSX89"/>
      <c r="MSY89"/>
      <c r="MSZ89"/>
      <c r="MTA89"/>
      <c r="MTB89"/>
      <c r="MTC89"/>
      <c r="MTD89"/>
      <c r="MTE89"/>
      <c r="MTF89"/>
      <c r="MTG89"/>
      <c r="MTH89"/>
      <c r="MTI89"/>
      <c r="MTJ89"/>
      <c r="MTK89"/>
      <c r="MTL89"/>
      <c r="MTM89"/>
      <c r="MTN89"/>
      <c r="MTO89"/>
      <c r="MTP89"/>
      <c r="MTQ89"/>
      <c r="MTR89"/>
      <c r="MTS89"/>
      <c r="MTT89"/>
      <c r="MTU89"/>
      <c r="MTV89"/>
      <c r="MTW89"/>
      <c r="MTX89"/>
      <c r="MTY89"/>
      <c r="MTZ89"/>
      <c r="MUA89"/>
      <c r="MUB89"/>
      <c r="MUC89"/>
      <c r="MUD89"/>
      <c r="MUE89"/>
      <c r="MUF89"/>
      <c r="MUG89"/>
      <c r="MUH89"/>
      <c r="MUI89"/>
      <c r="MUJ89"/>
      <c r="MUK89"/>
      <c r="MUL89"/>
      <c r="MUM89"/>
      <c r="MUN89"/>
      <c r="MUO89"/>
      <c r="MUP89"/>
      <c r="MUQ89"/>
      <c r="MUR89"/>
      <c r="MUS89"/>
      <c r="MUT89"/>
      <c r="MUU89"/>
      <c r="MUV89"/>
      <c r="MUW89"/>
      <c r="MUX89"/>
      <c r="MUY89"/>
      <c r="MUZ89"/>
      <c r="MVA89"/>
      <c r="MVB89"/>
      <c r="MVC89"/>
      <c r="MVD89"/>
      <c r="MVE89"/>
      <c r="MVF89"/>
      <c r="MVG89"/>
      <c r="MVH89"/>
      <c r="MVI89"/>
      <c r="MVJ89"/>
      <c r="MVK89"/>
      <c r="MVL89"/>
      <c r="MVM89"/>
      <c r="MVN89"/>
      <c r="MVO89"/>
      <c r="MVP89"/>
      <c r="MVQ89"/>
      <c r="MVR89"/>
      <c r="MVS89"/>
      <c r="MVT89"/>
      <c r="MVU89"/>
      <c r="MVV89"/>
      <c r="MVW89"/>
      <c r="MVX89"/>
      <c r="MVY89"/>
      <c r="MVZ89"/>
      <c r="MWA89"/>
      <c r="MWB89"/>
      <c r="MWC89"/>
      <c r="MWD89"/>
      <c r="MWE89"/>
      <c r="MWF89"/>
      <c r="MWG89"/>
      <c r="MWH89"/>
      <c r="MWI89"/>
      <c r="MWJ89"/>
      <c r="MWK89"/>
      <c r="MWL89"/>
      <c r="MWM89"/>
      <c r="MWN89"/>
      <c r="MWO89"/>
      <c r="MWP89"/>
      <c r="MWQ89"/>
      <c r="MWR89"/>
      <c r="MWS89"/>
      <c r="MWT89"/>
      <c r="MWU89"/>
      <c r="MWV89"/>
      <c r="MWW89"/>
      <c r="MWX89"/>
      <c r="MWY89"/>
      <c r="MWZ89"/>
      <c r="MXA89"/>
      <c r="MXB89"/>
      <c r="MXC89"/>
      <c r="MXD89"/>
      <c r="MXE89"/>
      <c r="MXF89"/>
      <c r="MXG89"/>
      <c r="MXH89"/>
      <c r="MXI89"/>
      <c r="MXJ89"/>
      <c r="MXK89"/>
      <c r="MXL89"/>
      <c r="MXM89"/>
      <c r="MXN89"/>
      <c r="MXO89"/>
      <c r="MXP89"/>
      <c r="MXQ89"/>
      <c r="MXR89"/>
      <c r="MXS89"/>
      <c r="MXT89"/>
      <c r="MXU89"/>
      <c r="MXV89"/>
      <c r="MXW89"/>
      <c r="MXX89"/>
      <c r="MXY89"/>
      <c r="MXZ89"/>
      <c r="MYA89"/>
      <c r="MYB89"/>
      <c r="MYC89"/>
      <c r="MYD89"/>
      <c r="MYE89"/>
      <c r="MYF89"/>
      <c r="MYG89"/>
      <c r="MYH89"/>
      <c r="MYI89"/>
      <c r="MYJ89"/>
      <c r="MYK89"/>
      <c r="MYL89"/>
      <c r="MYM89"/>
      <c r="MYN89"/>
      <c r="MYO89"/>
      <c r="MYP89"/>
      <c r="MYQ89"/>
      <c r="MYR89"/>
      <c r="MYS89"/>
      <c r="MYT89"/>
      <c r="MYU89"/>
      <c r="MYV89"/>
      <c r="MYW89"/>
      <c r="MYX89"/>
      <c r="MYY89"/>
      <c r="MYZ89"/>
      <c r="MZA89"/>
      <c r="MZB89"/>
      <c r="MZC89"/>
      <c r="MZD89"/>
      <c r="MZE89"/>
      <c r="MZF89"/>
      <c r="MZG89"/>
      <c r="MZH89"/>
      <c r="MZI89"/>
      <c r="MZJ89"/>
      <c r="MZK89"/>
      <c r="MZL89"/>
      <c r="MZM89"/>
      <c r="MZN89"/>
      <c r="MZO89"/>
      <c r="MZP89"/>
      <c r="MZQ89"/>
      <c r="MZR89"/>
      <c r="MZS89"/>
      <c r="MZT89"/>
      <c r="MZU89"/>
      <c r="MZV89"/>
      <c r="MZW89"/>
      <c r="MZX89"/>
      <c r="MZY89"/>
      <c r="MZZ89"/>
      <c r="NAA89"/>
      <c r="NAB89"/>
      <c r="NAC89"/>
      <c r="NAD89"/>
      <c r="NAE89"/>
      <c r="NAF89"/>
      <c r="NAG89"/>
      <c r="NAH89"/>
      <c r="NAI89"/>
      <c r="NAJ89"/>
      <c r="NAK89"/>
      <c r="NAL89"/>
      <c r="NAM89"/>
      <c r="NAN89"/>
      <c r="NAO89"/>
      <c r="NAP89"/>
      <c r="NAQ89"/>
      <c r="NAR89"/>
      <c r="NAS89"/>
      <c r="NAT89"/>
      <c r="NAU89"/>
      <c r="NAV89"/>
      <c r="NAW89"/>
      <c r="NAX89"/>
      <c r="NAY89"/>
      <c r="NAZ89"/>
      <c r="NBA89"/>
      <c r="NBB89"/>
      <c r="NBC89"/>
      <c r="NBD89"/>
      <c r="NBE89"/>
      <c r="NBF89"/>
      <c r="NBG89"/>
      <c r="NBH89"/>
      <c r="NBI89"/>
      <c r="NBJ89"/>
      <c r="NBK89"/>
      <c r="NBL89"/>
      <c r="NBM89"/>
      <c r="NBN89"/>
      <c r="NBO89"/>
      <c r="NBP89"/>
      <c r="NBQ89"/>
      <c r="NBR89"/>
      <c r="NBS89"/>
      <c r="NBT89"/>
      <c r="NBU89"/>
      <c r="NBV89"/>
      <c r="NBW89"/>
      <c r="NBX89"/>
      <c r="NBY89"/>
      <c r="NBZ89"/>
      <c r="NCA89"/>
      <c r="NCB89"/>
      <c r="NCC89"/>
      <c r="NCD89"/>
      <c r="NCE89"/>
      <c r="NCF89"/>
      <c r="NCG89"/>
      <c r="NCH89"/>
      <c r="NCI89"/>
      <c r="NCJ89"/>
      <c r="NCK89"/>
      <c r="NCL89"/>
      <c r="NCM89"/>
      <c r="NCN89"/>
      <c r="NCO89"/>
      <c r="NCP89"/>
      <c r="NCQ89"/>
      <c r="NCR89"/>
      <c r="NCS89"/>
      <c r="NCT89"/>
      <c r="NCU89"/>
      <c r="NCV89"/>
      <c r="NCW89"/>
      <c r="NCX89"/>
      <c r="NCY89"/>
      <c r="NCZ89"/>
      <c r="NDA89"/>
      <c r="NDB89"/>
      <c r="NDC89"/>
      <c r="NDD89"/>
      <c r="NDE89"/>
      <c r="NDF89"/>
      <c r="NDG89"/>
      <c r="NDH89"/>
      <c r="NDI89"/>
      <c r="NDJ89"/>
      <c r="NDK89"/>
      <c r="NDL89"/>
      <c r="NDM89"/>
      <c r="NDN89"/>
      <c r="NDO89"/>
      <c r="NDP89"/>
      <c r="NDQ89"/>
      <c r="NDR89"/>
      <c r="NDS89"/>
      <c r="NDT89"/>
      <c r="NDU89"/>
      <c r="NDV89"/>
      <c r="NDW89"/>
      <c r="NDX89"/>
      <c r="NDY89"/>
      <c r="NDZ89"/>
      <c r="NEA89"/>
      <c r="NEB89"/>
      <c r="NEC89"/>
      <c r="NED89"/>
      <c r="NEE89"/>
      <c r="NEF89"/>
      <c r="NEG89"/>
      <c r="NEH89"/>
      <c r="NEI89"/>
      <c r="NEJ89"/>
      <c r="NEK89"/>
      <c r="NEL89"/>
      <c r="NEM89"/>
      <c r="NEN89"/>
      <c r="NEO89"/>
      <c r="NEP89"/>
      <c r="NEQ89"/>
      <c r="NER89"/>
      <c r="NES89"/>
      <c r="NET89"/>
      <c r="NEU89"/>
      <c r="NEV89"/>
      <c r="NEW89"/>
      <c r="NEX89"/>
      <c r="NEY89"/>
      <c r="NEZ89"/>
      <c r="NFA89"/>
      <c r="NFB89"/>
      <c r="NFC89"/>
      <c r="NFD89"/>
      <c r="NFE89"/>
      <c r="NFF89"/>
      <c r="NFG89"/>
      <c r="NFH89"/>
      <c r="NFI89"/>
      <c r="NFJ89"/>
      <c r="NFK89"/>
      <c r="NFL89"/>
      <c r="NFM89"/>
      <c r="NFN89"/>
      <c r="NFO89"/>
      <c r="NFP89"/>
      <c r="NFQ89"/>
      <c r="NFR89"/>
      <c r="NFS89"/>
      <c r="NFT89"/>
      <c r="NFU89"/>
      <c r="NFV89"/>
      <c r="NFW89"/>
      <c r="NFX89"/>
      <c r="NFY89"/>
      <c r="NFZ89"/>
      <c r="NGA89"/>
      <c r="NGB89"/>
      <c r="NGC89"/>
      <c r="NGD89"/>
      <c r="NGE89"/>
      <c r="NGF89"/>
      <c r="NGG89"/>
      <c r="NGH89"/>
      <c r="NGI89"/>
      <c r="NGJ89"/>
      <c r="NGK89"/>
      <c r="NGL89"/>
      <c r="NGM89"/>
      <c r="NGN89"/>
      <c r="NGO89"/>
      <c r="NGP89"/>
      <c r="NGQ89"/>
      <c r="NGR89"/>
      <c r="NGS89"/>
      <c r="NGT89"/>
      <c r="NGU89"/>
      <c r="NGV89"/>
      <c r="NGW89"/>
      <c r="NGX89"/>
      <c r="NGY89"/>
      <c r="NGZ89"/>
      <c r="NHA89"/>
      <c r="NHB89"/>
      <c r="NHC89"/>
      <c r="NHD89"/>
      <c r="NHE89"/>
      <c r="NHF89"/>
      <c r="NHG89"/>
      <c r="NHH89"/>
      <c r="NHI89"/>
      <c r="NHJ89"/>
      <c r="NHK89"/>
      <c r="NHL89"/>
      <c r="NHM89"/>
      <c r="NHN89"/>
      <c r="NHO89"/>
      <c r="NHP89"/>
      <c r="NHQ89"/>
      <c r="NHR89"/>
      <c r="NHS89"/>
      <c r="NHT89"/>
      <c r="NHU89"/>
      <c r="NHV89"/>
      <c r="NHW89"/>
      <c r="NHX89"/>
      <c r="NHY89"/>
      <c r="NHZ89"/>
      <c r="NIA89"/>
      <c r="NIB89"/>
      <c r="NIC89"/>
      <c r="NID89"/>
      <c r="NIE89"/>
      <c r="NIF89"/>
      <c r="NIG89"/>
      <c r="NIH89"/>
      <c r="NII89"/>
      <c r="NIJ89"/>
      <c r="NIK89"/>
      <c r="NIL89"/>
      <c r="NIM89"/>
      <c r="NIN89"/>
      <c r="NIO89"/>
      <c r="NIP89"/>
      <c r="NIQ89"/>
      <c r="NIR89"/>
      <c r="NIS89"/>
      <c r="NIT89"/>
      <c r="NIU89"/>
      <c r="NIV89"/>
      <c r="NIW89"/>
      <c r="NIX89"/>
      <c r="NIY89"/>
      <c r="NIZ89"/>
      <c r="NJA89"/>
      <c r="NJB89"/>
      <c r="NJC89"/>
      <c r="NJD89"/>
      <c r="NJE89"/>
      <c r="NJF89"/>
      <c r="NJG89"/>
      <c r="NJH89"/>
      <c r="NJI89"/>
      <c r="NJJ89"/>
      <c r="NJK89"/>
      <c r="NJL89"/>
      <c r="NJM89"/>
      <c r="NJN89"/>
      <c r="NJO89"/>
      <c r="NJP89"/>
      <c r="NJQ89"/>
      <c r="NJR89"/>
      <c r="NJS89"/>
      <c r="NJT89"/>
      <c r="NJU89"/>
      <c r="NJV89"/>
      <c r="NJW89"/>
      <c r="NJX89"/>
      <c r="NJY89"/>
      <c r="NJZ89"/>
      <c r="NKA89"/>
      <c r="NKB89"/>
      <c r="NKC89"/>
      <c r="NKD89"/>
      <c r="NKE89"/>
      <c r="NKF89"/>
      <c r="NKG89"/>
      <c r="NKH89"/>
      <c r="NKI89"/>
      <c r="NKJ89"/>
      <c r="NKK89"/>
      <c r="NKL89"/>
      <c r="NKM89"/>
      <c r="NKN89"/>
      <c r="NKO89"/>
      <c r="NKP89"/>
      <c r="NKQ89"/>
      <c r="NKR89"/>
      <c r="NKS89"/>
      <c r="NKT89"/>
      <c r="NKU89"/>
      <c r="NKV89"/>
      <c r="NKW89"/>
      <c r="NKX89"/>
      <c r="NKY89"/>
      <c r="NKZ89"/>
      <c r="NLA89"/>
      <c r="NLB89"/>
      <c r="NLC89"/>
      <c r="NLD89"/>
      <c r="NLE89"/>
      <c r="NLF89"/>
      <c r="NLG89"/>
      <c r="NLH89"/>
      <c r="NLI89"/>
      <c r="NLJ89"/>
      <c r="NLK89"/>
      <c r="NLL89"/>
      <c r="NLM89"/>
      <c r="NLN89"/>
      <c r="NLO89"/>
      <c r="NLP89"/>
      <c r="NLQ89"/>
      <c r="NLR89"/>
      <c r="NLS89"/>
      <c r="NLT89"/>
      <c r="NLU89"/>
      <c r="NLV89"/>
      <c r="NLW89"/>
      <c r="NLX89"/>
      <c r="NLY89"/>
      <c r="NLZ89"/>
      <c r="NMA89"/>
      <c r="NMB89"/>
      <c r="NMC89"/>
      <c r="NMD89"/>
      <c r="NME89"/>
      <c r="NMF89"/>
      <c r="NMG89"/>
      <c r="NMH89"/>
      <c r="NMI89"/>
      <c r="NMJ89"/>
      <c r="NMK89"/>
      <c r="NML89"/>
      <c r="NMM89"/>
      <c r="NMN89"/>
      <c r="NMO89"/>
      <c r="NMP89"/>
      <c r="NMQ89"/>
      <c r="NMR89"/>
      <c r="NMS89"/>
      <c r="NMT89"/>
      <c r="NMU89"/>
      <c r="NMV89"/>
      <c r="NMW89"/>
      <c r="NMX89"/>
      <c r="NMY89"/>
      <c r="NMZ89"/>
      <c r="NNA89"/>
      <c r="NNB89"/>
      <c r="NNC89"/>
      <c r="NND89"/>
      <c r="NNE89"/>
      <c r="NNF89"/>
      <c r="NNG89"/>
      <c r="NNH89"/>
      <c r="NNI89"/>
      <c r="NNJ89"/>
      <c r="NNK89"/>
      <c r="NNL89"/>
      <c r="NNM89"/>
      <c r="NNN89"/>
      <c r="NNO89"/>
      <c r="NNP89"/>
      <c r="NNQ89"/>
      <c r="NNR89"/>
      <c r="NNS89"/>
      <c r="NNT89"/>
      <c r="NNU89"/>
      <c r="NNV89"/>
      <c r="NNW89"/>
      <c r="NNX89"/>
      <c r="NNY89"/>
      <c r="NNZ89"/>
      <c r="NOA89"/>
      <c r="NOB89"/>
      <c r="NOC89"/>
      <c r="NOD89"/>
      <c r="NOE89"/>
      <c r="NOF89"/>
      <c r="NOG89"/>
      <c r="NOH89"/>
      <c r="NOI89"/>
      <c r="NOJ89"/>
      <c r="NOK89"/>
      <c r="NOL89"/>
      <c r="NOM89"/>
      <c r="NON89"/>
      <c r="NOO89"/>
      <c r="NOP89"/>
      <c r="NOQ89"/>
      <c r="NOR89"/>
      <c r="NOS89"/>
      <c r="NOT89"/>
      <c r="NOU89"/>
      <c r="NOV89"/>
      <c r="NOW89"/>
      <c r="NOX89"/>
      <c r="NOY89"/>
      <c r="NOZ89"/>
      <c r="NPA89"/>
      <c r="NPB89"/>
      <c r="NPC89"/>
      <c r="NPD89"/>
      <c r="NPE89"/>
      <c r="NPF89"/>
      <c r="NPG89"/>
      <c r="NPH89"/>
      <c r="NPI89"/>
      <c r="NPJ89"/>
      <c r="NPK89"/>
      <c r="NPL89"/>
      <c r="NPM89"/>
      <c r="NPN89"/>
      <c r="NPO89"/>
      <c r="NPP89"/>
      <c r="NPQ89"/>
      <c r="NPR89"/>
      <c r="NPS89"/>
      <c r="NPT89"/>
      <c r="NPU89"/>
      <c r="NPV89"/>
      <c r="NPW89"/>
      <c r="NPX89"/>
      <c r="NPY89"/>
      <c r="NPZ89"/>
      <c r="NQA89"/>
      <c r="NQB89"/>
      <c r="NQC89"/>
      <c r="NQD89"/>
      <c r="NQE89"/>
      <c r="NQF89"/>
      <c r="NQG89"/>
      <c r="NQH89"/>
      <c r="NQI89"/>
      <c r="NQJ89"/>
      <c r="NQK89"/>
      <c r="NQL89"/>
      <c r="NQM89"/>
      <c r="NQN89"/>
      <c r="NQO89"/>
      <c r="NQP89"/>
      <c r="NQQ89"/>
      <c r="NQR89"/>
      <c r="NQS89"/>
      <c r="NQT89"/>
      <c r="NQU89"/>
      <c r="NQV89"/>
      <c r="NQW89"/>
      <c r="NQX89"/>
      <c r="NQY89"/>
      <c r="NQZ89"/>
      <c r="NRA89"/>
      <c r="NRB89"/>
      <c r="NRC89"/>
      <c r="NRD89"/>
      <c r="NRE89"/>
      <c r="NRF89"/>
      <c r="NRG89"/>
      <c r="NRH89"/>
      <c r="NRI89"/>
      <c r="NRJ89"/>
      <c r="NRK89"/>
      <c r="NRL89"/>
      <c r="NRM89"/>
      <c r="NRN89"/>
      <c r="NRO89"/>
      <c r="NRP89"/>
      <c r="NRQ89"/>
      <c r="NRR89"/>
      <c r="NRS89"/>
      <c r="NRT89"/>
      <c r="NRU89"/>
      <c r="NRV89"/>
      <c r="NRW89"/>
      <c r="NRX89"/>
      <c r="NRY89"/>
      <c r="NRZ89"/>
      <c r="NSA89"/>
      <c r="NSB89"/>
      <c r="NSC89"/>
      <c r="NSD89"/>
      <c r="NSE89"/>
      <c r="NSF89"/>
      <c r="NSG89"/>
      <c r="NSH89"/>
      <c r="NSI89"/>
      <c r="NSJ89"/>
      <c r="NSK89"/>
      <c r="NSL89"/>
      <c r="NSM89"/>
      <c r="NSN89"/>
      <c r="NSO89"/>
      <c r="NSP89"/>
      <c r="NSQ89"/>
      <c r="NSR89"/>
      <c r="NSS89"/>
      <c r="NST89"/>
      <c r="NSU89"/>
      <c r="NSV89"/>
      <c r="NSW89"/>
      <c r="NSX89"/>
      <c r="NSY89"/>
      <c r="NSZ89"/>
      <c r="NTA89"/>
      <c r="NTB89"/>
      <c r="NTC89"/>
      <c r="NTD89"/>
      <c r="NTE89"/>
      <c r="NTF89"/>
      <c r="NTG89"/>
      <c r="NTH89"/>
      <c r="NTI89"/>
      <c r="NTJ89"/>
      <c r="NTK89"/>
      <c r="NTL89"/>
      <c r="NTM89"/>
      <c r="NTN89"/>
      <c r="NTO89"/>
      <c r="NTP89"/>
      <c r="NTQ89"/>
      <c r="NTR89"/>
      <c r="NTS89"/>
      <c r="NTT89"/>
      <c r="NTU89"/>
      <c r="NTV89"/>
      <c r="NTW89"/>
      <c r="NTX89"/>
      <c r="NTY89"/>
      <c r="NTZ89"/>
      <c r="NUA89"/>
      <c r="NUB89"/>
      <c r="NUC89"/>
      <c r="NUD89"/>
      <c r="NUE89"/>
      <c r="NUF89"/>
      <c r="NUG89"/>
      <c r="NUH89"/>
      <c r="NUI89"/>
      <c r="NUJ89"/>
      <c r="NUK89"/>
      <c r="NUL89"/>
      <c r="NUM89"/>
      <c r="NUN89"/>
      <c r="NUO89"/>
      <c r="NUP89"/>
      <c r="NUQ89"/>
      <c r="NUR89"/>
      <c r="NUS89"/>
      <c r="NUT89"/>
      <c r="NUU89"/>
      <c r="NUV89"/>
      <c r="NUW89"/>
      <c r="NUX89"/>
      <c r="NUY89"/>
      <c r="NUZ89"/>
      <c r="NVA89"/>
      <c r="NVB89"/>
      <c r="NVC89"/>
      <c r="NVD89"/>
      <c r="NVE89"/>
      <c r="NVF89"/>
      <c r="NVG89"/>
      <c r="NVH89"/>
      <c r="NVI89"/>
      <c r="NVJ89"/>
      <c r="NVK89"/>
      <c r="NVL89"/>
      <c r="NVM89"/>
      <c r="NVN89"/>
      <c r="NVO89"/>
      <c r="NVP89"/>
      <c r="NVQ89"/>
      <c r="NVR89"/>
      <c r="NVS89"/>
      <c r="NVT89"/>
      <c r="NVU89"/>
      <c r="NVV89"/>
      <c r="NVW89"/>
      <c r="NVX89"/>
      <c r="NVY89"/>
      <c r="NVZ89"/>
      <c r="NWA89"/>
      <c r="NWB89"/>
      <c r="NWC89"/>
      <c r="NWD89"/>
      <c r="NWE89"/>
      <c r="NWF89"/>
      <c r="NWG89"/>
      <c r="NWH89"/>
      <c r="NWI89"/>
      <c r="NWJ89"/>
      <c r="NWK89"/>
      <c r="NWL89"/>
      <c r="NWM89"/>
      <c r="NWN89"/>
      <c r="NWO89"/>
      <c r="NWP89"/>
      <c r="NWQ89"/>
      <c r="NWR89"/>
      <c r="NWS89"/>
      <c r="NWT89"/>
      <c r="NWU89"/>
      <c r="NWV89"/>
      <c r="NWW89"/>
      <c r="NWX89"/>
      <c r="NWY89"/>
      <c r="NWZ89"/>
      <c r="NXA89"/>
      <c r="NXB89"/>
      <c r="NXC89"/>
      <c r="NXD89"/>
      <c r="NXE89"/>
      <c r="NXF89"/>
      <c r="NXG89"/>
      <c r="NXH89"/>
      <c r="NXI89"/>
      <c r="NXJ89"/>
      <c r="NXK89"/>
      <c r="NXL89"/>
      <c r="NXM89"/>
      <c r="NXN89"/>
      <c r="NXO89"/>
      <c r="NXP89"/>
      <c r="NXQ89"/>
      <c r="NXR89"/>
      <c r="NXS89"/>
      <c r="NXT89"/>
      <c r="NXU89"/>
      <c r="NXV89"/>
      <c r="NXW89"/>
      <c r="NXX89"/>
      <c r="NXY89"/>
      <c r="NXZ89"/>
      <c r="NYA89"/>
      <c r="NYB89"/>
      <c r="NYC89"/>
      <c r="NYD89"/>
      <c r="NYE89"/>
      <c r="NYF89"/>
      <c r="NYG89"/>
      <c r="NYH89"/>
      <c r="NYI89"/>
      <c r="NYJ89"/>
      <c r="NYK89"/>
      <c r="NYL89"/>
      <c r="NYM89"/>
      <c r="NYN89"/>
      <c r="NYO89"/>
      <c r="NYP89"/>
      <c r="NYQ89"/>
      <c r="NYR89"/>
      <c r="NYS89"/>
      <c r="NYT89"/>
      <c r="NYU89"/>
      <c r="NYV89"/>
      <c r="NYW89"/>
      <c r="NYX89"/>
      <c r="NYY89"/>
      <c r="NYZ89"/>
      <c r="NZA89"/>
      <c r="NZB89"/>
      <c r="NZC89"/>
      <c r="NZD89"/>
      <c r="NZE89"/>
      <c r="NZF89"/>
      <c r="NZG89"/>
      <c r="NZH89"/>
      <c r="NZI89"/>
      <c r="NZJ89"/>
      <c r="NZK89"/>
      <c r="NZL89"/>
      <c r="NZM89"/>
      <c r="NZN89"/>
      <c r="NZO89"/>
      <c r="NZP89"/>
      <c r="NZQ89"/>
      <c r="NZR89"/>
      <c r="NZS89"/>
      <c r="NZT89"/>
      <c r="NZU89"/>
      <c r="NZV89"/>
      <c r="NZW89"/>
      <c r="NZX89"/>
      <c r="NZY89"/>
      <c r="NZZ89"/>
      <c r="OAA89"/>
      <c r="OAB89"/>
      <c r="OAC89"/>
      <c r="OAD89"/>
      <c r="OAE89"/>
      <c r="OAF89"/>
      <c r="OAG89"/>
      <c r="OAH89"/>
      <c r="OAI89"/>
      <c r="OAJ89"/>
      <c r="OAK89"/>
      <c r="OAL89"/>
      <c r="OAM89"/>
      <c r="OAN89"/>
      <c r="OAO89"/>
      <c r="OAP89"/>
      <c r="OAQ89"/>
      <c r="OAR89"/>
      <c r="OAS89"/>
      <c r="OAT89"/>
      <c r="OAU89"/>
      <c r="OAV89"/>
      <c r="OAW89"/>
      <c r="OAX89"/>
      <c r="OAY89"/>
      <c r="OAZ89"/>
      <c r="OBA89"/>
      <c r="OBB89"/>
      <c r="OBC89"/>
      <c r="OBD89"/>
      <c r="OBE89"/>
      <c r="OBF89"/>
      <c r="OBG89"/>
      <c r="OBH89"/>
      <c r="OBI89"/>
      <c r="OBJ89"/>
      <c r="OBK89"/>
      <c r="OBL89"/>
      <c r="OBM89"/>
      <c r="OBN89"/>
      <c r="OBO89"/>
      <c r="OBP89"/>
      <c r="OBQ89"/>
      <c r="OBR89"/>
      <c r="OBS89"/>
      <c r="OBT89"/>
      <c r="OBU89"/>
      <c r="OBV89"/>
      <c r="OBW89"/>
      <c r="OBX89"/>
      <c r="OBY89"/>
      <c r="OBZ89"/>
      <c r="OCA89"/>
      <c r="OCB89"/>
      <c r="OCC89"/>
      <c r="OCD89"/>
      <c r="OCE89"/>
      <c r="OCF89"/>
      <c r="OCG89"/>
      <c r="OCH89"/>
      <c r="OCI89"/>
      <c r="OCJ89"/>
      <c r="OCK89"/>
      <c r="OCL89"/>
      <c r="OCM89"/>
      <c r="OCN89"/>
      <c r="OCO89"/>
      <c r="OCP89"/>
      <c r="OCQ89"/>
      <c r="OCR89"/>
      <c r="OCS89"/>
      <c r="OCT89"/>
      <c r="OCU89"/>
      <c r="OCV89"/>
      <c r="OCW89"/>
      <c r="OCX89"/>
      <c r="OCY89"/>
      <c r="OCZ89"/>
      <c r="ODA89"/>
      <c r="ODB89"/>
      <c r="ODC89"/>
      <c r="ODD89"/>
      <c r="ODE89"/>
      <c r="ODF89"/>
      <c r="ODG89"/>
      <c r="ODH89"/>
      <c r="ODI89"/>
      <c r="ODJ89"/>
      <c r="ODK89"/>
      <c r="ODL89"/>
      <c r="ODM89"/>
      <c r="ODN89"/>
      <c r="ODO89"/>
      <c r="ODP89"/>
      <c r="ODQ89"/>
      <c r="ODR89"/>
      <c r="ODS89"/>
      <c r="ODT89"/>
      <c r="ODU89"/>
      <c r="ODV89"/>
      <c r="ODW89"/>
      <c r="ODX89"/>
      <c r="ODY89"/>
      <c r="ODZ89"/>
      <c r="OEA89"/>
      <c r="OEB89"/>
      <c r="OEC89"/>
      <c r="OED89"/>
      <c r="OEE89"/>
      <c r="OEF89"/>
      <c r="OEG89"/>
      <c r="OEH89"/>
      <c r="OEI89"/>
      <c r="OEJ89"/>
      <c r="OEK89"/>
      <c r="OEL89"/>
      <c r="OEM89"/>
      <c r="OEN89"/>
      <c r="OEO89"/>
      <c r="OEP89"/>
      <c r="OEQ89"/>
      <c r="OER89"/>
      <c r="OES89"/>
      <c r="OET89"/>
      <c r="OEU89"/>
      <c r="OEV89"/>
      <c r="OEW89"/>
      <c r="OEX89"/>
      <c r="OEY89"/>
      <c r="OEZ89"/>
      <c r="OFA89"/>
      <c r="OFB89"/>
      <c r="OFC89"/>
      <c r="OFD89"/>
      <c r="OFE89"/>
      <c r="OFF89"/>
      <c r="OFG89"/>
      <c r="OFH89"/>
      <c r="OFI89"/>
      <c r="OFJ89"/>
      <c r="OFK89"/>
      <c r="OFL89"/>
      <c r="OFM89"/>
      <c r="OFN89"/>
      <c r="OFO89"/>
      <c r="OFP89"/>
      <c r="OFQ89"/>
      <c r="OFR89"/>
      <c r="OFS89"/>
      <c r="OFT89"/>
      <c r="OFU89"/>
      <c r="OFV89"/>
      <c r="OFW89"/>
      <c r="OFX89"/>
      <c r="OFY89"/>
      <c r="OFZ89"/>
      <c r="OGA89"/>
      <c r="OGB89"/>
      <c r="OGC89"/>
      <c r="OGD89"/>
      <c r="OGE89"/>
      <c r="OGF89"/>
      <c r="OGG89"/>
      <c r="OGH89"/>
      <c r="OGI89"/>
      <c r="OGJ89"/>
      <c r="OGK89"/>
      <c r="OGL89"/>
      <c r="OGM89"/>
      <c r="OGN89"/>
      <c r="OGO89"/>
      <c r="OGP89"/>
      <c r="OGQ89"/>
      <c r="OGR89"/>
      <c r="OGS89"/>
      <c r="OGT89"/>
      <c r="OGU89"/>
      <c r="OGV89"/>
      <c r="OGW89"/>
      <c r="OGX89"/>
      <c r="OGY89"/>
      <c r="OGZ89"/>
      <c r="OHA89"/>
      <c r="OHB89"/>
      <c r="OHC89"/>
      <c r="OHD89"/>
      <c r="OHE89"/>
      <c r="OHF89"/>
      <c r="OHG89"/>
      <c r="OHH89"/>
      <c r="OHI89"/>
      <c r="OHJ89"/>
      <c r="OHK89"/>
      <c r="OHL89"/>
      <c r="OHM89"/>
      <c r="OHN89"/>
      <c r="OHO89"/>
      <c r="OHP89"/>
      <c r="OHQ89"/>
      <c r="OHR89"/>
      <c r="OHS89"/>
      <c r="OHT89"/>
      <c r="OHU89"/>
      <c r="OHV89"/>
      <c r="OHW89"/>
      <c r="OHX89"/>
      <c r="OHY89"/>
      <c r="OHZ89"/>
      <c r="OIA89"/>
      <c r="OIB89"/>
      <c r="OIC89"/>
      <c r="OID89"/>
      <c r="OIE89"/>
      <c r="OIF89"/>
      <c r="OIG89"/>
      <c r="OIH89"/>
      <c r="OII89"/>
      <c r="OIJ89"/>
      <c r="OIK89"/>
      <c r="OIL89"/>
      <c r="OIM89"/>
      <c r="OIN89"/>
      <c r="OIO89"/>
      <c r="OIP89"/>
      <c r="OIQ89"/>
      <c r="OIR89"/>
      <c r="OIS89"/>
      <c r="OIT89"/>
      <c r="OIU89"/>
      <c r="OIV89"/>
      <c r="OIW89"/>
      <c r="OIX89"/>
      <c r="OIY89"/>
      <c r="OIZ89"/>
      <c r="OJA89"/>
      <c r="OJB89"/>
      <c r="OJC89"/>
      <c r="OJD89"/>
      <c r="OJE89"/>
      <c r="OJF89"/>
      <c r="OJG89"/>
      <c r="OJH89"/>
      <c r="OJI89"/>
      <c r="OJJ89"/>
      <c r="OJK89"/>
      <c r="OJL89"/>
      <c r="OJM89"/>
      <c r="OJN89"/>
      <c r="OJO89"/>
      <c r="OJP89"/>
      <c r="OJQ89"/>
      <c r="OJR89"/>
      <c r="OJS89"/>
      <c r="OJT89"/>
      <c r="OJU89"/>
      <c r="OJV89"/>
      <c r="OJW89"/>
      <c r="OJX89"/>
      <c r="OJY89"/>
      <c r="OJZ89"/>
      <c r="OKA89"/>
      <c r="OKB89"/>
      <c r="OKC89"/>
      <c r="OKD89"/>
      <c r="OKE89"/>
      <c r="OKF89"/>
      <c r="OKG89"/>
      <c r="OKH89"/>
      <c r="OKI89"/>
      <c r="OKJ89"/>
      <c r="OKK89"/>
      <c r="OKL89"/>
      <c r="OKM89"/>
      <c r="OKN89"/>
      <c r="OKO89"/>
      <c r="OKP89"/>
      <c r="OKQ89"/>
      <c r="OKR89"/>
      <c r="OKS89"/>
      <c r="OKT89"/>
      <c r="OKU89"/>
      <c r="OKV89"/>
      <c r="OKW89"/>
      <c r="OKX89"/>
      <c r="OKY89"/>
      <c r="OKZ89"/>
      <c r="OLA89"/>
      <c r="OLB89"/>
      <c r="OLC89"/>
      <c r="OLD89"/>
      <c r="OLE89"/>
      <c r="OLF89"/>
      <c r="OLG89"/>
      <c r="OLH89"/>
      <c r="OLI89"/>
      <c r="OLJ89"/>
      <c r="OLK89"/>
      <c r="OLL89"/>
      <c r="OLM89"/>
      <c r="OLN89"/>
      <c r="OLO89"/>
      <c r="OLP89"/>
      <c r="OLQ89"/>
      <c r="OLR89"/>
      <c r="OLS89"/>
      <c r="OLT89"/>
      <c r="OLU89"/>
      <c r="OLV89"/>
      <c r="OLW89"/>
      <c r="OLX89"/>
      <c r="OLY89"/>
      <c r="OLZ89"/>
      <c r="OMA89"/>
      <c r="OMB89"/>
      <c r="OMC89"/>
      <c r="OMD89"/>
      <c r="OME89"/>
      <c r="OMF89"/>
      <c r="OMG89"/>
      <c r="OMH89"/>
      <c r="OMI89"/>
      <c r="OMJ89"/>
      <c r="OMK89"/>
      <c r="OML89"/>
      <c r="OMM89"/>
      <c r="OMN89"/>
      <c r="OMO89"/>
      <c r="OMP89"/>
      <c r="OMQ89"/>
      <c r="OMR89"/>
      <c r="OMS89"/>
      <c r="OMT89"/>
      <c r="OMU89"/>
      <c r="OMV89"/>
      <c r="OMW89"/>
      <c r="OMX89"/>
      <c r="OMY89"/>
      <c r="OMZ89"/>
      <c r="ONA89"/>
      <c r="ONB89"/>
      <c r="ONC89"/>
      <c r="OND89"/>
      <c r="ONE89"/>
      <c r="ONF89"/>
      <c r="ONG89"/>
      <c r="ONH89"/>
      <c r="ONI89"/>
      <c r="ONJ89"/>
      <c r="ONK89"/>
      <c r="ONL89"/>
      <c r="ONM89"/>
      <c r="ONN89"/>
      <c r="ONO89"/>
      <c r="ONP89"/>
      <c r="ONQ89"/>
      <c r="ONR89"/>
      <c r="ONS89"/>
      <c r="ONT89"/>
      <c r="ONU89"/>
      <c r="ONV89"/>
      <c r="ONW89"/>
      <c r="ONX89"/>
      <c r="ONY89"/>
      <c r="ONZ89"/>
      <c r="OOA89"/>
      <c r="OOB89"/>
      <c r="OOC89"/>
      <c r="OOD89"/>
      <c r="OOE89"/>
      <c r="OOF89"/>
      <c r="OOG89"/>
      <c r="OOH89"/>
      <c r="OOI89"/>
      <c r="OOJ89"/>
      <c r="OOK89"/>
      <c r="OOL89"/>
      <c r="OOM89"/>
      <c r="OON89"/>
      <c r="OOO89"/>
      <c r="OOP89"/>
      <c r="OOQ89"/>
      <c r="OOR89"/>
      <c r="OOS89"/>
      <c r="OOT89"/>
      <c r="OOU89"/>
      <c r="OOV89"/>
      <c r="OOW89"/>
      <c r="OOX89"/>
      <c r="OOY89"/>
      <c r="OOZ89"/>
      <c r="OPA89"/>
      <c r="OPB89"/>
      <c r="OPC89"/>
      <c r="OPD89"/>
      <c r="OPE89"/>
      <c r="OPF89"/>
      <c r="OPG89"/>
      <c r="OPH89"/>
      <c r="OPI89"/>
      <c r="OPJ89"/>
      <c r="OPK89"/>
      <c r="OPL89"/>
      <c r="OPM89"/>
      <c r="OPN89"/>
      <c r="OPO89"/>
      <c r="OPP89"/>
      <c r="OPQ89"/>
      <c r="OPR89"/>
      <c r="OPS89"/>
      <c r="OPT89"/>
      <c r="OPU89"/>
      <c r="OPV89"/>
      <c r="OPW89"/>
      <c r="OPX89"/>
      <c r="OPY89"/>
      <c r="OPZ89"/>
      <c r="OQA89"/>
      <c r="OQB89"/>
      <c r="OQC89"/>
      <c r="OQD89"/>
      <c r="OQE89"/>
      <c r="OQF89"/>
      <c r="OQG89"/>
      <c r="OQH89"/>
      <c r="OQI89"/>
      <c r="OQJ89"/>
      <c r="OQK89"/>
      <c r="OQL89"/>
      <c r="OQM89"/>
      <c r="OQN89"/>
      <c r="OQO89"/>
      <c r="OQP89"/>
      <c r="OQQ89"/>
      <c r="OQR89"/>
      <c r="OQS89"/>
      <c r="OQT89"/>
      <c r="OQU89"/>
      <c r="OQV89"/>
      <c r="OQW89"/>
      <c r="OQX89"/>
      <c r="OQY89"/>
      <c r="OQZ89"/>
      <c r="ORA89"/>
      <c r="ORB89"/>
      <c r="ORC89"/>
      <c r="ORD89"/>
      <c r="ORE89"/>
      <c r="ORF89"/>
      <c r="ORG89"/>
      <c r="ORH89"/>
      <c r="ORI89"/>
      <c r="ORJ89"/>
      <c r="ORK89"/>
      <c r="ORL89"/>
      <c r="ORM89"/>
      <c r="ORN89"/>
      <c r="ORO89"/>
      <c r="ORP89"/>
      <c r="ORQ89"/>
      <c r="ORR89"/>
      <c r="ORS89"/>
      <c r="ORT89"/>
      <c r="ORU89"/>
      <c r="ORV89"/>
      <c r="ORW89"/>
      <c r="ORX89"/>
      <c r="ORY89"/>
      <c r="ORZ89"/>
      <c r="OSA89"/>
      <c r="OSB89"/>
      <c r="OSC89"/>
      <c r="OSD89"/>
      <c r="OSE89"/>
      <c r="OSF89"/>
      <c r="OSG89"/>
      <c r="OSH89"/>
      <c r="OSI89"/>
      <c r="OSJ89"/>
      <c r="OSK89"/>
      <c r="OSL89"/>
      <c r="OSM89"/>
      <c r="OSN89"/>
      <c r="OSO89"/>
      <c r="OSP89"/>
      <c r="OSQ89"/>
      <c r="OSR89"/>
      <c r="OSS89"/>
      <c r="OST89"/>
      <c r="OSU89"/>
      <c r="OSV89"/>
      <c r="OSW89"/>
      <c r="OSX89"/>
      <c r="OSY89"/>
      <c r="OSZ89"/>
      <c r="OTA89"/>
      <c r="OTB89"/>
      <c r="OTC89"/>
      <c r="OTD89"/>
      <c r="OTE89"/>
      <c r="OTF89"/>
      <c r="OTG89"/>
      <c r="OTH89"/>
      <c r="OTI89"/>
      <c r="OTJ89"/>
      <c r="OTK89"/>
      <c r="OTL89"/>
      <c r="OTM89"/>
      <c r="OTN89"/>
      <c r="OTO89"/>
      <c r="OTP89"/>
      <c r="OTQ89"/>
      <c r="OTR89"/>
      <c r="OTS89"/>
      <c r="OTT89"/>
      <c r="OTU89"/>
      <c r="OTV89"/>
      <c r="OTW89"/>
      <c r="OTX89"/>
      <c r="OTY89"/>
      <c r="OTZ89"/>
      <c r="OUA89"/>
      <c r="OUB89"/>
      <c r="OUC89"/>
      <c r="OUD89"/>
      <c r="OUE89"/>
      <c r="OUF89"/>
      <c r="OUG89"/>
      <c r="OUH89"/>
      <c r="OUI89"/>
      <c r="OUJ89"/>
      <c r="OUK89"/>
      <c r="OUL89"/>
      <c r="OUM89"/>
      <c r="OUN89"/>
      <c r="OUO89"/>
      <c r="OUP89"/>
      <c r="OUQ89"/>
      <c r="OUR89"/>
      <c r="OUS89"/>
      <c r="OUT89"/>
      <c r="OUU89"/>
      <c r="OUV89"/>
      <c r="OUW89"/>
      <c r="OUX89"/>
      <c r="OUY89"/>
      <c r="OUZ89"/>
      <c r="OVA89"/>
      <c r="OVB89"/>
      <c r="OVC89"/>
      <c r="OVD89"/>
      <c r="OVE89"/>
      <c r="OVF89"/>
      <c r="OVG89"/>
      <c r="OVH89"/>
      <c r="OVI89"/>
      <c r="OVJ89"/>
      <c r="OVK89"/>
      <c r="OVL89"/>
      <c r="OVM89"/>
      <c r="OVN89"/>
      <c r="OVO89"/>
      <c r="OVP89"/>
      <c r="OVQ89"/>
      <c r="OVR89"/>
      <c r="OVS89"/>
      <c r="OVT89"/>
      <c r="OVU89"/>
      <c r="OVV89"/>
      <c r="OVW89"/>
      <c r="OVX89"/>
      <c r="OVY89"/>
      <c r="OVZ89"/>
      <c r="OWA89"/>
      <c r="OWB89"/>
      <c r="OWC89"/>
      <c r="OWD89"/>
      <c r="OWE89"/>
      <c r="OWF89"/>
      <c r="OWG89"/>
      <c r="OWH89"/>
      <c r="OWI89"/>
      <c r="OWJ89"/>
      <c r="OWK89"/>
      <c r="OWL89"/>
      <c r="OWM89"/>
      <c r="OWN89"/>
      <c r="OWO89"/>
      <c r="OWP89"/>
      <c r="OWQ89"/>
      <c r="OWR89"/>
      <c r="OWS89"/>
      <c r="OWT89"/>
      <c r="OWU89"/>
      <c r="OWV89"/>
      <c r="OWW89"/>
      <c r="OWX89"/>
      <c r="OWY89"/>
      <c r="OWZ89"/>
      <c r="OXA89"/>
      <c r="OXB89"/>
      <c r="OXC89"/>
      <c r="OXD89"/>
      <c r="OXE89"/>
      <c r="OXF89"/>
      <c r="OXG89"/>
      <c r="OXH89"/>
      <c r="OXI89"/>
      <c r="OXJ89"/>
      <c r="OXK89"/>
      <c r="OXL89"/>
      <c r="OXM89"/>
      <c r="OXN89"/>
      <c r="OXO89"/>
      <c r="OXP89"/>
      <c r="OXQ89"/>
      <c r="OXR89"/>
      <c r="OXS89"/>
      <c r="OXT89"/>
      <c r="OXU89"/>
      <c r="OXV89"/>
      <c r="OXW89"/>
      <c r="OXX89"/>
      <c r="OXY89"/>
      <c r="OXZ89"/>
      <c r="OYA89"/>
      <c r="OYB89"/>
      <c r="OYC89"/>
      <c r="OYD89"/>
      <c r="OYE89"/>
      <c r="OYF89"/>
      <c r="OYG89"/>
      <c r="OYH89"/>
      <c r="OYI89"/>
      <c r="OYJ89"/>
      <c r="OYK89"/>
      <c r="OYL89"/>
      <c r="OYM89"/>
      <c r="OYN89"/>
      <c r="OYO89"/>
      <c r="OYP89"/>
      <c r="OYQ89"/>
      <c r="OYR89"/>
      <c r="OYS89"/>
      <c r="OYT89"/>
      <c r="OYU89"/>
      <c r="OYV89"/>
      <c r="OYW89"/>
      <c r="OYX89"/>
      <c r="OYY89"/>
      <c r="OYZ89"/>
      <c r="OZA89"/>
      <c r="OZB89"/>
      <c r="OZC89"/>
      <c r="OZD89"/>
      <c r="OZE89"/>
      <c r="OZF89"/>
      <c r="OZG89"/>
      <c r="OZH89"/>
      <c r="OZI89"/>
      <c r="OZJ89"/>
      <c r="OZK89"/>
      <c r="OZL89"/>
      <c r="OZM89"/>
      <c r="OZN89"/>
      <c r="OZO89"/>
      <c r="OZP89"/>
      <c r="OZQ89"/>
      <c r="OZR89"/>
      <c r="OZS89"/>
      <c r="OZT89"/>
      <c r="OZU89"/>
      <c r="OZV89"/>
      <c r="OZW89"/>
      <c r="OZX89"/>
      <c r="OZY89"/>
      <c r="OZZ89"/>
      <c r="PAA89"/>
      <c r="PAB89"/>
      <c r="PAC89"/>
      <c r="PAD89"/>
      <c r="PAE89"/>
      <c r="PAF89"/>
      <c r="PAG89"/>
      <c r="PAH89"/>
      <c r="PAI89"/>
      <c r="PAJ89"/>
      <c r="PAK89"/>
      <c r="PAL89"/>
      <c r="PAM89"/>
      <c r="PAN89"/>
      <c r="PAO89"/>
      <c r="PAP89"/>
      <c r="PAQ89"/>
      <c r="PAR89"/>
      <c r="PAS89"/>
      <c r="PAT89"/>
      <c r="PAU89"/>
      <c r="PAV89"/>
      <c r="PAW89"/>
      <c r="PAX89"/>
      <c r="PAY89"/>
      <c r="PAZ89"/>
      <c r="PBA89"/>
      <c r="PBB89"/>
      <c r="PBC89"/>
      <c r="PBD89"/>
      <c r="PBE89"/>
      <c r="PBF89"/>
      <c r="PBG89"/>
      <c r="PBH89"/>
      <c r="PBI89"/>
      <c r="PBJ89"/>
      <c r="PBK89"/>
      <c r="PBL89"/>
      <c r="PBM89"/>
      <c r="PBN89"/>
      <c r="PBO89"/>
      <c r="PBP89"/>
      <c r="PBQ89"/>
      <c r="PBR89"/>
      <c r="PBS89"/>
      <c r="PBT89"/>
      <c r="PBU89"/>
      <c r="PBV89"/>
      <c r="PBW89"/>
      <c r="PBX89"/>
      <c r="PBY89"/>
      <c r="PBZ89"/>
      <c r="PCA89"/>
      <c r="PCB89"/>
      <c r="PCC89"/>
      <c r="PCD89"/>
      <c r="PCE89"/>
      <c r="PCF89"/>
      <c r="PCG89"/>
      <c r="PCH89"/>
      <c r="PCI89"/>
      <c r="PCJ89"/>
      <c r="PCK89"/>
      <c r="PCL89"/>
      <c r="PCM89"/>
      <c r="PCN89"/>
      <c r="PCO89"/>
      <c r="PCP89"/>
      <c r="PCQ89"/>
      <c r="PCR89"/>
      <c r="PCS89"/>
      <c r="PCT89"/>
      <c r="PCU89"/>
      <c r="PCV89"/>
      <c r="PCW89"/>
      <c r="PCX89"/>
      <c r="PCY89"/>
      <c r="PCZ89"/>
      <c r="PDA89"/>
      <c r="PDB89"/>
      <c r="PDC89"/>
      <c r="PDD89"/>
      <c r="PDE89"/>
      <c r="PDF89"/>
      <c r="PDG89"/>
      <c r="PDH89"/>
      <c r="PDI89"/>
      <c r="PDJ89"/>
      <c r="PDK89"/>
      <c r="PDL89"/>
      <c r="PDM89"/>
      <c r="PDN89"/>
      <c r="PDO89"/>
      <c r="PDP89"/>
      <c r="PDQ89"/>
      <c r="PDR89"/>
      <c r="PDS89"/>
      <c r="PDT89"/>
      <c r="PDU89"/>
      <c r="PDV89"/>
      <c r="PDW89"/>
      <c r="PDX89"/>
      <c r="PDY89"/>
      <c r="PDZ89"/>
      <c r="PEA89"/>
      <c r="PEB89"/>
      <c r="PEC89"/>
      <c r="PED89"/>
      <c r="PEE89"/>
      <c r="PEF89"/>
      <c r="PEG89"/>
      <c r="PEH89"/>
      <c r="PEI89"/>
      <c r="PEJ89"/>
      <c r="PEK89"/>
      <c r="PEL89"/>
      <c r="PEM89"/>
      <c r="PEN89"/>
      <c r="PEO89"/>
      <c r="PEP89"/>
      <c r="PEQ89"/>
      <c r="PER89"/>
      <c r="PES89"/>
      <c r="PET89"/>
      <c r="PEU89"/>
      <c r="PEV89"/>
      <c r="PEW89"/>
      <c r="PEX89"/>
      <c r="PEY89"/>
      <c r="PEZ89"/>
      <c r="PFA89"/>
      <c r="PFB89"/>
      <c r="PFC89"/>
      <c r="PFD89"/>
      <c r="PFE89"/>
      <c r="PFF89"/>
      <c r="PFG89"/>
      <c r="PFH89"/>
      <c r="PFI89"/>
      <c r="PFJ89"/>
      <c r="PFK89"/>
      <c r="PFL89"/>
      <c r="PFM89"/>
      <c r="PFN89"/>
      <c r="PFO89"/>
      <c r="PFP89"/>
      <c r="PFQ89"/>
      <c r="PFR89"/>
      <c r="PFS89"/>
      <c r="PFT89"/>
      <c r="PFU89"/>
      <c r="PFV89"/>
      <c r="PFW89"/>
      <c r="PFX89"/>
      <c r="PFY89"/>
      <c r="PFZ89"/>
      <c r="PGA89"/>
      <c r="PGB89"/>
      <c r="PGC89"/>
      <c r="PGD89"/>
      <c r="PGE89"/>
      <c r="PGF89"/>
      <c r="PGG89"/>
      <c r="PGH89"/>
      <c r="PGI89"/>
      <c r="PGJ89"/>
      <c r="PGK89"/>
      <c r="PGL89"/>
      <c r="PGM89"/>
      <c r="PGN89"/>
      <c r="PGO89"/>
      <c r="PGP89"/>
      <c r="PGQ89"/>
      <c r="PGR89"/>
      <c r="PGS89"/>
      <c r="PGT89"/>
      <c r="PGU89"/>
      <c r="PGV89"/>
      <c r="PGW89"/>
      <c r="PGX89"/>
      <c r="PGY89"/>
      <c r="PGZ89"/>
      <c r="PHA89"/>
      <c r="PHB89"/>
      <c r="PHC89"/>
      <c r="PHD89"/>
      <c r="PHE89"/>
      <c r="PHF89"/>
      <c r="PHG89"/>
      <c r="PHH89"/>
      <c r="PHI89"/>
      <c r="PHJ89"/>
      <c r="PHK89"/>
      <c r="PHL89"/>
      <c r="PHM89"/>
      <c r="PHN89"/>
      <c r="PHO89"/>
      <c r="PHP89"/>
      <c r="PHQ89"/>
      <c r="PHR89"/>
      <c r="PHS89"/>
      <c r="PHT89"/>
      <c r="PHU89"/>
      <c r="PHV89"/>
      <c r="PHW89"/>
      <c r="PHX89"/>
      <c r="PHY89"/>
      <c r="PHZ89"/>
      <c r="PIA89"/>
      <c r="PIB89"/>
      <c r="PIC89"/>
      <c r="PID89"/>
      <c r="PIE89"/>
      <c r="PIF89"/>
      <c r="PIG89"/>
      <c r="PIH89"/>
      <c r="PII89"/>
      <c r="PIJ89"/>
      <c r="PIK89"/>
      <c r="PIL89"/>
      <c r="PIM89"/>
      <c r="PIN89"/>
      <c r="PIO89"/>
      <c r="PIP89"/>
      <c r="PIQ89"/>
      <c r="PIR89"/>
      <c r="PIS89"/>
      <c r="PIT89"/>
      <c r="PIU89"/>
      <c r="PIV89"/>
      <c r="PIW89"/>
      <c r="PIX89"/>
      <c r="PIY89"/>
      <c r="PIZ89"/>
      <c r="PJA89"/>
      <c r="PJB89"/>
      <c r="PJC89"/>
      <c r="PJD89"/>
      <c r="PJE89"/>
      <c r="PJF89"/>
      <c r="PJG89"/>
      <c r="PJH89"/>
      <c r="PJI89"/>
      <c r="PJJ89"/>
      <c r="PJK89"/>
      <c r="PJL89"/>
      <c r="PJM89"/>
      <c r="PJN89"/>
      <c r="PJO89"/>
      <c r="PJP89"/>
      <c r="PJQ89"/>
      <c r="PJR89"/>
      <c r="PJS89"/>
      <c r="PJT89"/>
      <c r="PJU89"/>
      <c r="PJV89"/>
      <c r="PJW89"/>
      <c r="PJX89"/>
      <c r="PJY89"/>
      <c r="PJZ89"/>
      <c r="PKA89"/>
      <c r="PKB89"/>
      <c r="PKC89"/>
      <c r="PKD89"/>
      <c r="PKE89"/>
      <c r="PKF89"/>
      <c r="PKG89"/>
      <c r="PKH89"/>
      <c r="PKI89"/>
      <c r="PKJ89"/>
      <c r="PKK89"/>
      <c r="PKL89"/>
      <c r="PKM89"/>
      <c r="PKN89"/>
      <c r="PKO89"/>
      <c r="PKP89"/>
      <c r="PKQ89"/>
      <c r="PKR89"/>
      <c r="PKS89"/>
      <c r="PKT89"/>
      <c r="PKU89"/>
      <c r="PKV89"/>
      <c r="PKW89"/>
      <c r="PKX89"/>
      <c r="PKY89"/>
      <c r="PKZ89"/>
      <c r="PLA89"/>
      <c r="PLB89"/>
      <c r="PLC89"/>
      <c r="PLD89"/>
      <c r="PLE89"/>
      <c r="PLF89"/>
      <c r="PLG89"/>
      <c r="PLH89"/>
      <c r="PLI89"/>
      <c r="PLJ89"/>
      <c r="PLK89"/>
      <c r="PLL89"/>
      <c r="PLM89"/>
      <c r="PLN89"/>
      <c r="PLO89"/>
      <c r="PLP89"/>
      <c r="PLQ89"/>
      <c r="PLR89"/>
      <c r="PLS89"/>
      <c r="PLT89"/>
      <c r="PLU89"/>
      <c r="PLV89"/>
      <c r="PLW89"/>
      <c r="PLX89"/>
      <c r="PLY89"/>
      <c r="PLZ89"/>
      <c r="PMA89"/>
      <c r="PMB89"/>
      <c r="PMC89"/>
      <c r="PMD89"/>
      <c r="PME89"/>
      <c r="PMF89"/>
      <c r="PMG89"/>
      <c r="PMH89"/>
      <c r="PMI89"/>
      <c r="PMJ89"/>
      <c r="PMK89"/>
      <c r="PML89"/>
      <c r="PMM89"/>
      <c r="PMN89"/>
      <c r="PMO89"/>
      <c r="PMP89"/>
      <c r="PMQ89"/>
      <c r="PMR89"/>
      <c r="PMS89"/>
      <c r="PMT89"/>
      <c r="PMU89"/>
      <c r="PMV89"/>
      <c r="PMW89"/>
      <c r="PMX89"/>
      <c r="PMY89"/>
      <c r="PMZ89"/>
      <c r="PNA89"/>
      <c r="PNB89"/>
      <c r="PNC89"/>
      <c r="PND89"/>
      <c r="PNE89"/>
      <c r="PNF89"/>
      <c r="PNG89"/>
      <c r="PNH89"/>
      <c r="PNI89"/>
      <c r="PNJ89"/>
      <c r="PNK89"/>
      <c r="PNL89"/>
      <c r="PNM89"/>
      <c r="PNN89"/>
      <c r="PNO89"/>
      <c r="PNP89"/>
      <c r="PNQ89"/>
      <c r="PNR89"/>
      <c r="PNS89"/>
      <c r="PNT89"/>
      <c r="PNU89"/>
      <c r="PNV89"/>
      <c r="PNW89"/>
      <c r="PNX89"/>
      <c r="PNY89"/>
      <c r="PNZ89"/>
      <c r="POA89"/>
      <c r="POB89"/>
      <c r="POC89"/>
      <c r="POD89"/>
      <c r="POE89"/>
      <c r="POF89"/>
      <c r="POG89"/>
      <c r="POH89"/>
      <c r="POI89"/>
      <c r="POJ89"/>
      <c r="POK89"/>
      <c r="POL89"/>
      <c r="POM89"/>
      <c r="PON89"/>
      <c r="POO89"/>
      <c r="POP89"/>
      <c r="POQ89"/>
      <c r="POR89"/>
      <c r="POS89"/>
      <c r="POT89"/>
      <c r="POU89"/>
      <c r="POV89"/>
      <c r="POW89"/>
      <c r="POX89"/>
      <c r="POY89"/>
      <c r="POZ89"/>
      <c r="PPA89"/>
      <c r="PPB89"/>
      <c r="PPC89"/>
      <c r="PPD89"/>
      <c r="PPE89"/>
      <c r="PPF89"/>
      <c r="PPG89"/>
      <c r="PPH89"/>
      <c r="PPI89"/>
      <c r="PPJ89"/>
      <c r="PPK89"/>
      <c r="PPL89"/>
      <c r="PPM89"/>
      <c r="PPN89"/>
      <c r="PPO89"/>
      <c r="PPP89"/>
      <c r="PPQ89"/>
      <c r="PPR89"/>
      <c r="PPS89"/>
      <c r="PPT89"/>
      <c r="PPU89"/>
      <c r="PPV89"/>
      <c r="PPW89"/>
      <c r="PPX89"/>
      <c r="PPY89"/>
      <c r="PPZ89"/>
      <c r="PQA89"/>
      <c r="PQB89"/>
      <c r="PQC89"/>
      <c r="PQD89"/>
      <c r="PQE89"/>
      <c r="PQF89"/>
      <c r="PQG89"/>
      <c r="PQH89"/>
      <c r="PQI89"/>
      <c r="PQJ89"/>
      <c r="PQK89"/>
      <c r="PQL89"/>
      <c r="PQM89"/>
      <c r="PQN89"/>
      <c r="PQO89"/>
      <c r="PQP89"/>
      <c r="PQQ89"/>
      <c r="PQR89"/>
      <c r="PQS89"/>
      <c r="PQT89"/>
      <c r="PQU89"/>
      <c r="PQV89"/>
      <c r="PQW89"/>
      <c r="PQX89"/>
      <c r="PQY89"/>
      <c r="PQZ89"/>
      <c r="PRA89"/>
      <c r="PRB89"/>
      <c r="PRC89"/>
      <c r="PRD89"/>
      <c r="PRE89"/>
      <c r="PRF89"/>
      <c r="PRG89"/>
      <c r="PRH89"/>
      <c r="PRI89"/>
      <c r="PRJ89"/>
      <c r="PRK89"/>
      <c r="PRL89"/>
      <c r="PRM89"/>
      <c r="PRN89"/>
      <c r="PRO89"/>
      <c r="PRP89"/>
      <c r="PRQ89"/>
      <c r="PRR89"/>
      <c r="PRS89"/>
      <c r="PRT89"/>
      <c r="PRU89"/>
      <c r="PRV89"/>
      <c r="PRW89"/>
      <c r="PRX89"/>
      <c r="PRY89"/>
      <c r="PRZ89"/>
      <c r="PSA89"/>
      <c r="PSB89"/>
      <c r="PSC89"/>
      <c r="PSD89"/>
      <c r="PSE89"/>
      <c r="PSF89"/>
      <c r="PSG89"/>
      <c r="PSH89"/>
      <c r="PSI89"/>
      <c r="PSJ89"/>
      <c r="PSK89"/>
      <c r="PSL89"/>
      <c r="PSM89"/>
      <c r="PSN89"/>
      <c r="PSO89"/>
      <c r="PSP89"/>
      <c r="PSQ89"/>
      <c r="PSR89"/>
      <c r="PSS89"/>
      <c r="PST89"/>
      <c r="PSU89"/>
      <c r="PSV89"/>
      <c r="PSW89"/>
      <c r="PSX89"/>
      <c r="PSY89"/>
      <c r="PSZ89"/>
      <c r="PTA89"/>
      <c r="PTB89"/>
      <c r="PTC89"/>
      <c r="PTD89"/>
      <c r="PTE89"/>
      <c r="PTF89"/>
      <c r="PTG89"/>
      <c r="PTH89"/>
      <c r="PTI89"/>
      <c r="PTJ89"/>
      <c r="PTK89"/>
      <c r="PTL89"/>
      <c r="PTM89"/>
      <c r="PTN89"/>
      <c r="PTO89"/>
      <c r="PTP89"/>
      <c r="PTQ89"/>
      <c r="PTR89"/>
      <c r="PTS89"/>
      <c r="PTT89"/>
      <c r="PTU89"/>
      <c r="PTV89"/>
      <c r="PTW89"/>
      <c r="PTX89"/>
      <c r="PTY89"/>
      <c r="PTZ89"/>
      <c r="PUA89"/>
      <c r="PUB89"/>
      <c r="PUC89"/>
      <c r="PUD89"/>
      <c r="PUE89"/>
      <c r="PUF89"/>
      <c r="PUG89"/>
      <c r="PUH89"/>
      <c r="PUI89"/>
      <c r="PUJ89"/>
      <c r="PUK89"/>
      <c r="PUL89"/>
      <c r="PUM89"/>
      <c r="PUN89"/>
      <c r="PUO89"/>
      <c r="PUP89"/>
      <c r="PUQ89"/>
      <c r="PUR89"/>
      <c r="PUS89"/>
      <c r="PUT89"/>
      <c r="PUU89"/>
      <c r="PUV89"/>
      <c r="PUW89"/>
      <c r="PUX89"/>
      <c r="PUY89"/>
      <c r="PUZ89"/>
      <c r="PVA89"/>
      <c r="PVB89"/>
      <c r="PVC89"/>
      <c r="PVD89"/>
      <c r="PVE89"/>
      <c r="PVF89"/>
      <c r="PVG89"/>
      <c r="PVH89"/>
      <c r="PVI89"/>
      <c r="PVJ89"/>
      <c r="PVK89"/>
      <c r="PVL89"/>
      <c r="PVM89"/>
      <c r="PVN89"/>
      <c r="PVO89"/>
      <c r="PVP89"/>
      <c r="PVQ89"/>
      <c r="PVR89"/>
      <c r="PVS89"/>
      <c r="PVT89"/>
      <c r="PVU89"/>
      <c r="PVV89"/>
      <c r="PVW89"/>
      <c r="PVX89"/>
      <c r="PVY89"/>
      <c r="PVZ89"/>
      <c r="PWA89"/>
      <c r="PWB89"/>
      <c r="PWC89"/>
      <c r="PWD89"/>
      <c r="PWE89"/>
      <c r="PWF89"/>
      <c r="PWG89"/>
      <c r="PWH89"/>
      <c r="PWI89"/>
      <c r="PWJ89"/>
      <c r="PWK89"/>
      <c r="PWL89"/>
      <c r="PWM89"/>
      <c r="PWN89"/>
      <c r="PWO89"/>
      <c r="PWP89"/>
      <c r="PWQ89"/>
      <c r="PWR89"/>
      <c r="PWS89"/>
      <c r="PWT89"/>
      <c r="PWU89"/>
      <c r="PWV89"/>
      <c r="PWW89"/>
      <c r="PWX89"/>
      <c r="PWY89"/>
      <c r="PWZ89"/>
      <c r="PXA89"/>
      <c r="PXB89"/>
      <c r="PXC89"/>
      <c r="PXD89"/>
      <c r="PXE89"/>
      <c r="PXF89"/>
      <c r="PXG89"/>
      <c r="PXH89"/>
      <c r="PXI89"/>
      <c r="PXJ89"/>
      <c r="PXK89"/>
      <c r="PXL89"/>
      <c r="PXM89"/>
      <c r="PXN89"/>
      <c r="PXO89"/>
      <c r="PXP89"/>
      <c r="PXQ89"/>
      <c r="PXR89"/>
      <c r="PXS89"/>
      <c r="PXT89"/>
      <c r="PXU89"/>
      <c r="PXV89"/>
      <c r="PXW89"/>
      <c r="PXX89"/>
      <c r="PXY89"/>
      <c r="PXZ89"/>
      <c r="PYA89"/>
      <c r="PYB89"/>
      <c r="PYC89"/>
      <c r="PYD89"/>
      <c r="PYE89"/>
      <c r="PYF89"/>
      <c r="PYG89"/>
      <c r="PYH89"/>
      <c r="PYI89"/>
      <c r="PYJ89"/>
      <c r="PYK89"/>
      <c r="PYL89"/>
      <c r="PYM89"/>
      <c r="PYN89"/>
      <c r="PYO89"/>
      <c r="PYP89"/>
      <c r="PYQ89"/>
      <c r="PYR89"/>
      <c r="PYS89"/>
      <c r="PYT89"/>
      <c r="PYU89"/>
      <c r="PYV89"/>
      <c r="PYW89"/>
      <c r="PYX89"/>
      <c r="PYY89"/>
      <c r="PYZ89"/>
      <c r="PZA89"/>
      <c r="PZB89"/>
      <c r="PZC89"/>
      <c r="PZD89"/>
      <c r="PZE89"/>
      <c r="PZF89"/>
      <c r="PZG89"/>
      <c r="PZH89"/>
      <c r="PZI89"/>
      <c r="PZJ89"/>
      <c r="PZK89"/>
      <c r="PZL89"/>
      <c r="PZM89"/>
      <c r="PZN89"/>
      <c r="PZO89"/>
      <c r="PZP89"/>
      <c r="PZQ89"/>
      <c r="PZR89"/>
      <c r="PZS89"/>
      <c r="PZT89"/>
      <c r="PZU89"/>
      <c r="PZV89"/>
      <c r="PZW89"/>
      <c r="PZX89"/>
      <c r="PZY89"/>
      <c r="PZZ89"/>
      <c r="QAA89"/>
      <c r="QAB89"/>
      <c r="QAC89"/>
      <c r="QAD89"/>
      <c r="QAE89"/>
      <c r="QAF89"/>
      <c r="QAG89"/>
      <c r="QAH89"/>
      <c r="QAI89"/>
      <c r="QAJ89"/>
      <c r="QAK89"/>
      <c r="QAL89"/>
      <c r="QAM89"/>
      <c r="QAN89"/>
      <c r="QAO89"/>
      <c r="QAP89"/>
      <c r="QAQ89"/>
      <c r="QAR89"/>
      <c r="QAS89"/>
      <c r="QAT89"/>
      <c r="QAU89"/>
      <c r="QAV89"/>
      <c r="QAW89"/>
      <c r="QAX89"/>
      <c r="QAY89"/>
      <c r="QAZ89"/>
      <c r="QBA89"/>
      <c r="QBB89"/>
      <c r="QBC89"/>
      <c r="QBD89"/>
      <c r="QBE89"/>
      <c r="QBF89"/>
      <c r="QBG89"/>
      <c r="QBH89"/>
      <c r="QBI89"/>
      <c r="QBJ89"/>
      <c r="QBK89"/>
      <c r="QBL89"/>
      <c r="QBM89"/>
      <c r="QBN89"/>
      <c r="QBO89"/>
      <c r="QBP89"/>
      <c r="QBQ89"/>
      <c r="QBR89"/>
      <c r="QBS89"/>
      <c r="QBT89"/>
      <c r="QBU89"/>
      <c r="QBV89"/>
      <c r="QBW89"/>
      <c r="QBX89"/>
      <c r="QBY89"/>
      <c r="QBZ89"/>
      <c r="QCA89"/>
      <c r="QCB89"/>
      <c r="QCC89"/>
      <c r="QCD89"/>
      <c r="QCE89"/>
      <c r="QCF89"/>
      <c r="QCG89"/>
      <c r="QCH89"/>
      <c r="QCI89"/>
      <c r="QCJ89"/>
      <c r="QCK89"/>
      <c r="QCL89"/>
      <c r="QCM89"/>
      <c r="QCN89"/>
      <c r="QCO89"/>
      <c r="QCP89"/>
      <c r="QCQ89"/>
      <c r="QCR89"/>
      <c r="QCS89"/>
      <c r="QCT89"/>
      <c r="QCU89"/>
      <c r="QCV89"/>
      <c r="QCW89"/>
      <c r="QCX89"/>
      <c r="QCY89"/>
      <c r="QCZ89"/>
      <c r="QDA89"/>
      <c r="QDB89"/>
      <c r="QDC89"/>
      <c r="QDD89"/>
      <c r="QDE89"/>
      <c r="QDF89"/>
      <c r="QDG89"/>
      <c r="QDH89"/>
      <c r="QDI89"/>
      <c r="QDJ89"/>
      <c r="QDK89"/>
      <c r="QDL89"/>
      <c r="QDM89"/>
      <c r="QDN89"/>
      <c r="QDO89"/>
      <c r="QDP89"/>
      <c r="QDQ89"/>
      <c r="QDR89"/>
      <c r="QDS89"/>
      <c r="QDT89"/>
      <c r="QDU89"/>
      <c r="QDV89"/>
      <c r="QDW89"/>
      <c r="QDX89"/>
      <c r="QDY89"/>
      <c r="QDZ89"/>
      <c r="QEA89"/>
      <c r="QEB89"/>
      <c r="QEC89"/>
      <c r="QED89"/>
      <c r="QEE89"/>
      <c r="QEF89"/>
      <c r="QEG89"/>
      <c r="QEH89"/>
      <c r="QEI89"/>
      <c r="QEJ89"/>
      <c r="QEK89"/>
      <c r="QEL89"/>
      <c r="QEM89"/>
      <c r="QEN89"/>
      <c r="QEO89"/>
      <c r="QEP89"/>
      <c r="QEQ89"/>
      <c r="QER89"/>
      <c r="QES89"/>
      <c r="QET89"/>
      <c r="QEU89"/>
      <c r="QEV89"/>
      <c r="QEW89"/>
      <c r="QEX89"/>
      <c r="QEY89"/>
      <c r="QEZ89"/>
      <c r="QFA89"/>
      <c r="QFB89"/>
      <c r="QFC89"/>
      <c r="QFD89"/>
      <c r="QFE89"/>
      <c r="QFF89"/>
      <c r="QFG89"/>
      <c r="QFH89"/>
      <c r="QFI89"/>
      <c r="QFJ89"/>
      <c r="QFK89"/>
      <c r="QFL89"/>
      <c r="QFM89"/>
      <c r="QFN89"/>
      <c r="QFO89"/>
      <c r="QFP89"/>
      <c r="QFQ89"/>
      <c r="QFR89"/>
      <c r="QFS89"/>
      <c r="QFT89"/>
      <c r="QFU89"/>
      <c r="QFV89"/>
      <c r="QFW89"/>
      <c r="QFX89"/>
      <c r="QFY89"/>
      <c r="QFZ89"/>
      <c r="QGA89"/>
      <c r="QGB89"/>
      <c r="QGC89"/>
      <c r="QGD89"/>
      <c r="QGE89"/>
      <c r="QGF89"/>
      <c r="QGG89"/>
      <c r="QGH89"/>
      <c r="QGI89"/>
      <c r="QGJ89"/>
      <c r="QGK89"/>
      <c r="QGL89"/>
      <c r="QGM89"/>
      <c r="QGN89"/>
      <c r="QGO89"/>
      <c r="QGP89"/>
      <c r="QGQ89"/>
      <c r="QGR89"/>
      <c r="QGS89"/>
      <c r="QGT89"/>
      <c r="QGU89"/>
      <c r="QGV89"/>
      <c r="QGW89"/>
      <c r="QGX89"/>
      <c r="QGY89"/>
      <c r="QGZ89"/>
      <c r="QHA89"/>
      <c r="QHB89"/>
      <c r="QHC89"/>
      <c r="QHD89"/>
      <c r="QHE89"/>
      <c r="QHF89"/>
      <c r="QHG89"/>
      <c r="QHH89"/>
      <c r="QHI89"/>
      <c r="QHJ89"/>
      <c r="QHK89"/>
      <c r="QHL89"/>
      <c r="QHM89"/>
      <c r="QHN89"/>
      <c r="QHO89"/>
      <c r="QHP89"/>
      <c r="QHQ89"/>
      <c r="QHR89"/>
      <c r="QHS89"/>
      <c r="QHT89"/>
      <c r="QHU89"/>
      <c r="QHV89"/>
      <c r="QHW89"/>
      <c r="QHX89"/>
      <c r="QHY89"/>
      <c r="QHZ89"/>
      <c r="QIA89"/>
      <c r="QIB89"/>
      <c r="QIC89"/>
      <c r="QID89"/>
      <c r="QIE89"/>
      <c r="QIF89"/>
      <c r="QIG89"/>
      <c r="QIH89"/>
      <c r="QII89"/>
      <c r="QIJ89"/>
      <c r="QIK89"/>
      <c r="QIL89"/>
      <c r="QIM89"/>
      <c r="QIN89"/>
      <c r="QIO89"/>
      <c r="QIP89"/>
      <c r="QIQ89"/>
      <c r="QIR89"/>
      <c r="QIS89"/>
      <c r="QIT89"/>
      <c r="QIU89"/>
      <c r="QIV89"/>
      <c r="QIW89"/>
      <c r="QIX89"/>
      <c r="QIY89"/>
      <c r="QIZ89"/>
      <c r="QJA89"/>
      <c r="QJB89"/>
      <c r="QJC89"/>
      <c r="QJD89"/>
      <c r="QJE89"/>
      <c r="QJF89"/>
      <c r="QJG89"/>
      <c r="QJH89"/>
      <c r="QJI89"/>
      <c r="QJJ89"/>
      <c r="QJK89"/>
      <c r="QJL89"/>
      <c r="QJM89"/>
      <c r="QJN89"/>
      <c r="QJO89"/>
      <c r="QJP89"/>
      <c r="QJQ89"/>
      <c r="QJR89"/>
      <c r="QJS89"/>
      <c r="QJT89"/>
      <c r="QJU89"/>
      <c r="QJV89"/>
      <c r="QJW89"/>
      <c r="QJX89"/>
      <c r="QJY89"/>
      <c r="QJZ89"/>
      <c r="QKA89"/>
      <c r="QKB89"/>
      <c r="QKC89"/>
      <c r="QKD89"/>
      <c r="QKE89"/>
      <c r="QKF89"/>
      <c r="QKG89"/>
      <c r="QKH89"/>
      <c r="QKI89"/>
      <c r="QKJ89"/>
      <c r="QKK89"/>
      <c r="QKL89"/>
      <c r="QKM89"/>
      <c r="QKN89"/>
      <c r="QKO89"/>
      <c r="QKP89"/>
      <c r="QKQ89"/>
      <c r="QKR89"/>
      <c r="QKS89"/>
      <c r="QKT89"/>
      <c r="QKU89"/>
      <c r="QKV89"/>
      <c r="QKW89"/>
      <c r="QKX89"/>
      <c r="QKY89"/>
      <c r="QKZ89"/>
      <c r="QLA89"/>
      <c r="QLB89"/>
      <c r="QLC89"/>
      <c r="QLD89"/>
      <c r="QLE89"/>
      <c r="QLF89"/>
      <c r="QLG89"/>
      <c r="QLH89"/>
      <c r="QLI89"/>
      <c r="QLJ89"/>
      <c r="QLK89"/>
      <c r="QLL89"/>
      <c r="QLM89"/>
      <c r="QLN89"/>
      <c r="QLO89"/>
      <c r="QLP89"/>
      <c r="QLQ89"/>
      <c r="QLR89"/>
      <c r="QLS89"/>
      <c r="QLT89"/>
      <c r="QLU89"/>
      <c r="QLV89"/>
      <c r="QLW89"/>
      <c r="QLX89"/>
      <c r="QLY89"/>
      <c r="QLZ89"/>
      <c r="QMA89"/>
      <c r="QMB89"/>
      <c r="QMC89"/>
      <c r="QMD89"/>
      <c r="QME89"/>
      <c r="QMF89"/>
      <c r="QMG89"/>
      <c r="QMH89"/>
      <c r="QMI89"/>
      <c r="QMJ89"/>
      <c r="QMK89"/>
      <c r="QML89"/>
      <c r="QMM89"/>
      <c r="QMN89"/>
      <c r="QMO89"/>
      <c r="QMP89"/>
      <c r="QMQ89"/>
      <c r="QMR89"/>
      <c r="QMS89"/>
      <c r="QMT89"/>
      <c r="QMU89"/>
      <c r="QMV89"/>
      <c r="QMW89"/>
      <c r="QMX89"/>
      <c r="QMY89"/>
      <c r="QMZ89"/>
      <c r="QNA89"/>
      <c r="QNB89"/>
      <c r="QNC89"/>
      <c r="QND89"/>
      <c r="QNE89"/>
      <c r="QNF89"/>
      <c r="QNG89"/>
      <c r="QNH89"/>
      <c r="QNI89"/>
      <c r="QNJ89"/>
      <c r="QNK89"/>
      <c r="QNL89"/>
      <c r="QNM89"/>
      <c r="QNN89"/>
      <c r="QNO89"/>
      <c r="QNP89"/>
      <c r="QNQ89"/>
      <c r="QNR89"/>
      <c r="QNS89"/>
      <c r="QNT89"/>
      <c r="QNU89"/>
      <c r="QNV89"/>
      <c r="QNW89"/>
      <c r="QNX89"/>
      <c r="QNY89"/>
      <c r="QNZ89"/>
      <c r="QOA89"/>
      <c r="QOB89"/>
      <c r="QOC89"/>
      <c r="QOD89"/>
      <c r="QOE89"/>
      <c r="QOF89"/>
      <c r="QOG89"/>
      <c r="QOH89"/>
      <c r="QOI89"/>
      <c r="QOJ89"/>
      <c r="QOK89"/>
      <c r="QOL89"/>
      <c r="QOM89"/>
      <c r="QON89"/>
      <c r="QOO89"/>
      <c r="QOP89"/>
      <c r="QOQ89"/>
      <c r="QOR89"/>
      <c r="QOS89"/>
      <c r="QOT89"/>
      <c r="QOU89"/>
      <c r="QOV89"/>
      <c r="QOW89"/>
      <c r="QOX89"/>
      <c r="QOY89"/>
      <c r="QOZ89"/>
      <c r="QPA89"/>
      <c r="QPB89"/>
      <c r="QPC89"/>
      <c r="QPD89"/>
      <c r="QPE89"/>
      <c r="QPF89"/>
      <c r="QPG89"/>
      <c r="QPH89"/>
      <c r="QPI89"/>
      <c r="QPJ89"/>
      <c r="QPK89"/>
      <c r="QPL89"/>
      <c r="QPM89"/>
      <c r="QPN89"/>
      <c r="QPO89"/>
      <c r="QPP89"/>
      <c r="QPQ89"/>
      <c r="QPR89"/>
      <c r="QPS89"/>
      <c r="QPT89"/>
      <c r="QPU89"/>
      <c r="QPV89"/>
      <c r="QPW89"/>
      <c r="QPX89"/>
      <c r="QPY89"/>
      <c r="QPZ89"/>
      <c r="QQA89"/>
      <c r="QQB89"/>
      <c r="QQC89"/>
      <c r="QQD89"/>
      <c r="QQE89"/>
      <c r="QQF89"/>
      <c r="QQG89"/>
      <c r="QQH89"/>
      <c r="QQI89"/>
      <c r="QQJ89"/>
      <c r="QQK89"/>
      <c r="QQL89"/>
      <c r="QQM89"/>
      <c r="QQN89"/>
      <c r="QQO89"/>
      <c r="QQP89"/>
      <c r="QQQ89"/>
      <c r="QQR89"/>
      <c r="QQS89"/>
      <c r="QQT89"/>
      <c r="QQU89"/>
      <c r="QQV89"/>
      <c r="QQW89"/>
      <c r="QQX89"/>
      <c r="QQY89"/>
      <c r="QQZ89"/>
      <c r="QRA89"/>
      <c r="QRB89"/>
      <c r="QRC89"/>
      <c r="QRD89"/>
      <c r="QRE89"/>
      <c r="QRF89"/>
      <c r="QRG89"/>
      <c r="QRH89"/>
      <c r="QRI89"/>
      <c r="QRJ89"/>
      <c r="QRK89"/>
      <c r="QRL89"/>
      <c r="QRM89"/>
      <c r="QRN89"/>
      <c r="QRO89"/>
      <c r="QRP89"/>
      <c r="QRQ89"/>
      <c r="QRR89"/>
      <c r="QRS89"/>
      <c r="QRT89"/>
      <c r="QRU89"/>
      <c r="QRV89"/>
      <c r="QRW89"/>
      <c r="QRX89"/>
      <c r="QRY89"/>
      <c r="QRZ89"/>
      <c r="QSA89"/>
      <c r="QSB89"/>
      <c r="QSC89"/>
      <c r="QSD89"/>
      <c r="QSE89"/>
      <c r="QSF89"/>
      <c r="QSG89"/>
      <c r="QSH89"/>
      <c r="QSI89"/>
      <c r="QSJ89"/>
      <c r="QSK89"/>
      <c r="QSL89"/>
      <c r="QSM89"/>
      <c r="QSN89"/>
      <c r="QSO89"/>
      <c r="QSP89"/>
      <c r="QSQ89"/>
      <c r="QSR89"/>
      <c r="QSS89"/>
      <c r="QST89"/>
      <c r="QSU89"/>
      <c r="QSV89"/>
      <c r="QSW89"/>
      <c r="QSX89"/>
      <c r="QSY89"/>
      <c r="QSZ89"/>
      <c r="QTA89"/>
      <c r="QTB89"/>
      <c r="QTC89"/>
      <c r="QTD89"/>
      <c r="QTE89"/>
      <c r="QTF89"/>
      <c r="QTG89"/>
      <c r="QTH89"/>
      <c r="QTI89"/>
      <c r="QTJ89"/>
      <c r="QTK89"/>
      <c r="QTL89"/>
      <c r="QTM89"/>
      <c r="QTN89"/>
      <c r="QTO89"/>
      <c r="QTP89"/>
      <c r="QTQ89"/>
      <c r="QTR89"/>
      <c r="QTS89"/>
      <c r="QTT89"/>
      <c r="QTU89"/>
      <c r="QTV89"/>
      <c r="QTW89"/>
      <c r="QTX89"/>
      <c r="QTY89"/>
      <c r="QTZ89"/>
      <c r="QUA89"/>
      <c r="QUB89"/>
      <c r="QUC89"/>
      <c r="QUD89"/>
      <c r="QUE89"/>
      <c r="QUF89"/>
      <c r="QUG89"/>
      <c r="QUH89"/>
      <c r="QUI89"/>
      <c r="QUJ89"/>
      <c r="QUK89"/>
      <c r="QUL89"/>
      <c r="QUM89"/>
      <c r="QUN89"/>
      <c r="QUO89"/>
      <c r="QUP89"/>
      <c r="QUQ89"/>
      <c r="QUR89"/>
      <c r="QUS89"/>
      <c r="QUT89"/>
      <c r="QUU89"/>
      <c r="QUV89"/>
      <c r="QUW89"/>
      <c r="QUX89"/>
      <c r="QUY89"/>
      <c r="QUZ89"/>
      <c r="QVA89"/>
      <c r="QVB89"/>
      <c r="QVC89"/>
      <c r="QVD89"/>
      <c r="QVE89"/>
      <c r="QVF89"/>
      <c r="QVG89"/>
      <c r="QVH89"/>
      <c r="QVI89"/>
      <c r="QVJ89"/>
      <c r="QVK89"/>
      <c r="QVL89"/>
      <c r="QVM89"/>
      <c r="QVN89"/>
      <c r="QVO89"/>
      <c r="QVP89"/>
      <c r="QVQ89"/>
      <c r="QVR89"/>
      <c r="QVS89"/>
      <c r="QVT89"/>
      <c r="QVU89"/>
      <c r="QVV89"/>
      <c r="QVW89"/>
      <c r="QVX89"/>
      <c r="QVY89"/>
      <c r="QVZ89"/>
      <c r="QWA89"/>
      <c r="QWB89"/>
      <c r="QWC89"/>
      <c r="QWD89"/>
      <c r="QWE89"/>
      <c r="QWF89"/>
      <c r="QWG89"/>
      <c r="QWH89"/>
      <c r="QWI89"/>
      <c r="QWJ89"/>
      <c r="QWK89"/>
      <c r="QWL89"/>
      <c r="QWM89"/>
      <c r="QWN89"/>
      <c r="QWO89"/>
      <c r="QWP89"/>
      <c r="QWQ89"/>
      <c r="QWR89"/>
      <c r="QWS89"/>
      <c r="QWT89"/>
      <c r="QWU89"/>
      <c r="QWV89"/>
      <c r="QWW89"/>
      <c r="QWX89"/>
      <c r="QWY89"/>
      <c r="QWZ89"/>
      <c r="QXA89"/>
      <c r="QXB89"/>
      <c r="QXC89"/>
      <c r="QXD89"/>
      <c r="QXE89"/>
      <c r="QXF89"/>
      <c r="QXG89"/>
      <c r="QXH89"/>
      <c r="QXI89"/>
      <c r="QXJ89"/>
      <c r="QXK89"/>
      <c r="QXL89"/>
      <c r="QXM89"/>
      <c r="QXN89"/>
      <c r="QXO89"/>
      <c r="QXP89"/>
      <c r="QXQ89"/>
      <c r="QXR89"/>
      <c r="QXS89"/>
      <c r="QXT89"/>
      <c r="QXU89"/>
      <c r="QXV89"/>
      <c r="QXW89"/>
      <c r="QXX89"/>
      <c r="QXY89"/>
      <c r="QXZ89"/>
      <c r="QYA89"/>
      <c r="QYB89"/>
      <c r="QYC89"/>
      <c r="QYD89"/>
      <c r="QYE89"/>
      <c r="QYF89"/>
      <c r="QYG89"/>
      <c r="QYH89"/>
      <c r="QYI89"/>
      <c r="QYJ89"/>
      <c r="QYK89"/>
      <c r="QYL89"/>
      <c r="QYM89"/>
      <c r="QYN89"/>
      <c r="QYO89"/>
      <c r="QYP89"/>
      <c r="QYQ89"/>
      <c r="QYR89"/>
      <c r="QYS89"/>
      <c r="QYT89"/>
      <c r="QYU89"/>
      <c r="QYV89"/>
      <c r="QYW89"/>
      <c r="QYX89"/>
      <c r="QYY89"/>
      <c r="QYZ89"/>
      <c r="QZA89"/>
      <c r="QZB89"/>
      <c r="QZC89"/>
      <c r="QZD89"/>
      <c r="QZE89"/>
      <c r="QZF89"/>
      <c r="QZG89"/>
      <c r="QZH89"/>
      <c r="QZI89"/>
      <c r="QZJ89"/>
      <c r="QZK89"/>
      <c r="QZL89"/>
      <c r="QZM89"/>
      <c r="QZN89"/>
      <c r="QZO89"/>
      <c r="QZP89"/>
      <c r="QZQ89"/>
      <c r="QZR89"/>
      <c r="QZS89"/>
      <c r="QZT89"/>
      <c r="QZU89"/>
      <c r="QZV89"/>
      <c r="QZW89"/>
      <c r="QZX89"/>
      <c r="QZY89"/>
      <c r="QZZ89"/>
      <c r="RAA89"/>
      <c r="RAB89"/>
      <c r="RAC89"/>
      <c r="RAD89"/>
      <c r="RAE89"/>
      <c r="RAF89"/>
      <c r="RAG89"/>
      <c r="RAH89"/>
      <c r="RAI89"/>
      <c r="RAJ89"/>
      <c r="RAK89"/>
      <c r="RAL89"/>
      <c r="RAM89"/>
      <c r="RAN89"/>
      <c r="RAO89"/>
      <c r="RAP89"/>
      <c r="RAQ89"/>
      <c r="RAR89"/>
      <c r="RAS89"/>
      <c r="RAT89"/>
      <c r="RAU89"/>
      <c r="RAV89"/>
      <c r="RAW89"/>
      <c r="RAX89"/>
      <c r="RAY89"/>
      <c r="RAZ89"/>
      <c r="RBA89"/>
      <c r="RBB89"/>
      <c r="RBC89"/>
      <c r="RBD89"/>
      <c r="RBE89"/>
      <c r="RBF89"/>
      <c r="RBG89"/>
      <c r="RBH89"/>
      <c r="RBI89"/>
      <c r="RBJ89"/>
      <c r="RBK89"/>
      <c r="RBL89"/>
      <c r="RBM89"/>
      <c r="RBN89"/>
      <c r="RBO89"/>
      <c r="RBP89"/>
      <c r="RBQ89"/>
      <c r="RBR89"/>
      <c r="RBS89"/>
      <c r="RBT89"/>
      <c r="RBU89"/>
      <c r="RBV89"/>
      <c r="RBW89"/>
      <c r="RBX89"/>
      <c r="RBY89"/>
      <c r="RBZ89"/>
      <c r="RCA89"/>
      <c r="RCB89"/>
      <c r="RCC89"/>
      <c r="RCD89"/>
      <c r="RCE89"/>
      <c r="RCF89"/>
      <c r="RCG89"/>
      <c r="RCH89"/>
      <c r="RCI89"/>
      <c r="RCJ89"/>
      <c r="RCK89"/>
      <c r="RCL89"/>
      <c r="RCM89"/>
      <c r="RCN89"/>
      <c r="RCO89"/>
      <c r="RCP89"/>
      <c r="RCQ89"/>
      <c r="RCR89"/>
      <c r="RCS89"/>
      <c r="RCT89"/>
      <c r="RCU89"/>
      <c r="RCV89"/>
      <c r="RCW89"/>
      <c r="RCX89"/>
      <c r="RCY89"/>
      <c r="RCZ89"/>
      <c r="RDA89"/>
      <c r="RDB89"/>
      <c r="RDC89"/>
      <c r="RDD89"/>
      <c r="RDE89"/>
      <c r="RDF89"/>
      <c r="RDG89"/>
      <c r="RDH89"/>
      <c r="RDI89"/>
      <c r="RDJ89"/>
      <c r="RDK89"/>
      <c r="RDL89"/>
      <c r="RDM89"/>
      <c r="RDN89"/>
      <c r="RDO89"/>
      <c r="RDP89"/>
      <c r="RDQ89"/>
      <c r="RDR89"/>
      <c r="RDS89"/>
      <c r="RDT89"/>
      <c r="RDU89"/>
      <c r="RDV89"/>
      <c r="RDW89"/>
      <c r="RDX89"/>
      <c r="RDY89"/>
      <c r="RDZ89"/>
      <c r="REA89"/>
      <c r="REB89"/>
      <c r="REC89"/>
      <c r="RED89"/>
      <c r="REE89"/>
      <c r="REF89"/>
      <c r="REG89"/>
      <c r="REH89"/>
      <c r="REI89"/>
      <c r="REJ89"/>
      <c r="REK89"/>
      <c r="REL89"/>
      <c r="REM89"/>
      <c r="REN89"/>
      <c r="REO89"/>
      <c r="REP89"/>
      <c r="REQ89"/>
      <c r="RER89"/>
      <c r="RES89"/>
      <c r="RET89"/>
      <c r="REU89"/>
      <c r="REV89"/>
      <c r="REW89"/>
      <c r="REX89"/>
      <c r="REY89"/>
      <c r="REZ89"/>
      <c r="RFA89"/>
      <c r="RFB89"/>
      <c r="RFC89"/>
      <c r="RFD89"/>
      <c r="RFE89"/>
      <c r="RFF89"/>
      <c r="RFG89"/>
      <c r="RFH89"/>
      <c r="RFI89"/>
      <c r="RFJ89"/>
      <c r="RFK89"/>
      <c r="RFL89"/>
      <c r="RFM89"/>
      <c r="RFN89"/>
      <c r="RFO89"/>
      <c r="RFP89"/>
      <c r="RFQ89"/>
      <c r="RFR89"/>
      <c r="RFS89"/>
      <c r="RFT89"/>
      <c r="RFU89"/>
      <c r="RFV89"/>
      <c r="RFW89"/>
      <c r="RFX89"/>
      <c r="RFY89"/>
      <c r="RFZ89"/>
      <c r="RGA89"/>
      <c r="RGB89"/>
      <c r="RGC89"/>
      <c r="RGD89"/>
      <c r="RGE89"/>
      <c r="RGF89"/>
      <c r="RGG89"/>
      <c r="RGH89"/>
      <c r="RGI89"/>
      <c r="RGJ89"/>
      <c r="RGK89"/>
      <c r="RGL89"/>
      <c r="RGM89"/>
      <c r="RGN89"/>
      <c r="RGO89"/>
      <c r="RGP89"/>
      <c r="RGQ89"/>
      <c r="RGR89"/>
      <c r="RGS89"/>
      <c r="RGT89"/>
      <c r="RGU89"/>
      <c r="RGV89"/>
      <c r="RGW89"/>
      <c r="RGX89"/>
      <c r="RGY89"/>
      <c r="RGZ89"/>
      <c r="RHA89"/>
      <c r="RHB89"/>
      <c r="RHC89"/>
      <c r="RHD89"/>
      <c r="RHE89"/>
      <c r="RHF89"/>
      <c r="RHG89"/>
      <c r="RHH89"/>
      <c r="RHI89"/>
      <c r="RHJ89"/>
      <c r="RHK89"/>
      <c r="RHL89"/>
      <c r="RHM89"/>
      <c r="RHN89"/>
      <c r="RHO89"/>
      <c r="RHP89"/>
      <c r="RHQ89"/>
      <c r="RHR89"/>
      <c r="RHS89"/>
      <c r="RHT89"/>
      <c r="RHU89"/>
      <c r="RHV89"/>
      <c r="RHW89"/>
      <c r="RHX89"/>
      <c r="RHY89"/>
      <c r="RHZ89"/>
      <c r="RIA89"/>
      <c r="RIB89"/>
      <c r="RIC89"/>
      <c r="RID89"/>
      <c r="RIE89"/>
      <c r="RIF89"/>
      <c r="RIG89"/>
      <c r="RIH89"/>
      <c r="RII89"/>
      <c r="RIJ89"/>
      <c r="RIK89"/>
      <c r="RIL89"/>
      <c r="RIM89"/>
      <c r="RIN89"/>
      <c r="RIO89"/>
      <c r="RIP89"/>
      <c r="RIQ89"/>
      <c r="RIR89"/>
      <c r="RIS89"/>
      <c r="RIT89"/>
      <c r="RIU89"/>
      <c r="RIV89"/>
      <c r="RIW89"/>
      <c r="RIX89"/>
      <c r="RIY89"/>
      <c r="RIZ89"/>
      <c r="RJA89"/>
      <c r="RJB89"/>
      <c r="RJC89"/>
      <c r="RJD89"/>
      <c r="RJE89"/>
      <c r="RJF89"/>
      <c r="RJG89"/>
      <c r="RJH89"/>
      <c r="RJI89"/>
      <c r="RJJ89"/>
      <c r="RJK89"/>
      <c r="RJL89"/>
      <c r="RJM89"/>
      <c r="RJN89"/>
      <c r="RJO89"/>
      <c r="RJP89"/>
      <c r="RJQ89"/>
      <c r="RJR89"/>
      <c r="RJS89"/>
      <c r="RJT89"/>
      <c r="RJU89"/>
      <c r="RJV89"/>
      <c r="RJW89"/>
      <c r="RJX89"/>
      <c r="RJY89"/>
      <c r="RJZ89"/>
      <c r="RKA89"/>
      <c r="RKB89"/>
      <c r="RKC89"/>
      <c r="RKD89"/>
      <c r="RKE89"/>
      <c r="RKF89"/>
      <c r="RKG89"/>
      <c r="RKH89"/>
      <c r="RKI89"/>
      <c r="RKJ89"/>
      <c r="RKK89"/>
      <c r="RKL89"/>
      <c r="RKM89"/>
      <c r="RKN89"/>
      <c r="RKO89"/>
      <c r="RKP89"/>
      <c r="RKQ89"/>
      <c r="RKR89"/>
      <c r="RKS89"/>
      <c r="RKT89"/>
      <c r="RKU89"/>
      <c r="RKV89"/>
      <c r="RKW89"/>
      <c r="RKX89"/>
      <c r="RKY89"/>
      <c r="RKZ89"/>
      <c r="RLA89"/>
      <c r="RLB89"/>
      <c r="RLC89"/>
      <c r="RLD89"/>
      <c r="RLE89"/>
      <c r="RLF89"/>
      <c r="RLG89"/>
      <c r="RLH89"/>
      <c r="RLI89"/>
      <c r="RLJ89"/>
      <c r="RLK89"/>
      <c r="RLL89"/>
      <c r="RLM89"/>
      <c r="RLN89"/>
      <c r="RLO89"/>
      <c r="RLP89"/>
      <c r="RLQ89"/>
      <c r="RLR89"/>
      <c r="RLS89"/>
      <c r="RLT89"/>
      <c r="RLU89"/>
      <c r="RLV89"/>
      <c r="RLW89"/>
      <c r="RLX89"/>
      <c r="RLY89"/>
      <c r="RLZ89"/>
      <c r="RMA89"/>
      <c r="RMB89"/>
      <c r="RMC89"/>
      <c r="RMD89"/>
      <c r="RME89"/>
      <c r="RMF89"/>
      <c r="RMG89"/>
      <c r="RMH89"/>
      <c r="RMI89"/>
      <c r="RMJ89"/>
      <c r="RMK89"/>
      <c r="RML89"/>
      <c r="RMM89"/>
      <c r="RMN89"/>
      <c r="RMO89"/>
      <c r="RMP89"/>
      <c r="RMQ89"/>
      <c r="RMR89"/>
      <c r="RMS89"/>
      <c r="RMT89"/>
      <c r="RMU89"/>
      <c r="RMV89"/>
      <c r="RMW89"/>
      <c r="RMX89"/>
      <c r="RMY89"/>
      <c r="RMZ89"/>
      <c r="RNA89"/>
      <c r="RNB89"/>
      <c r="RNC89"/>
      <c r="RND89"/>
      <c r="RNE89"/>
      <c r="RNF89"/>
      <c r="RNG89"/>
      <c r="RNH89"/>
      <c r="RNI89"/>
      <c r="RNJ89"/>
      <c r="RNK89"/>
      <c r="RNL89"/>
      <c r="RNM89"/>
      <c r="RNN89"/>
      <c r="RNO89"/>
      <c r="RNP89"/>
      <c r="RNQ89"/>
      <c r="RNR89"/>
      <c r="RNS89"/>
      <c r="RNT89"/>
      <c r="RNU89"/>
      <c r="RNV89"/>
      <c r="RNW89"/>
      <c r="RNX89"/>
      <c r="RNY89"/>
      <c r="RNZ89"/>
      <c r="ROA89"/>
      <c r="ROB89"/>
      <c r="ROC89"/>
      <c r="ROD89"/>
      <c r="ROE89"/>
      <c r="ROF89"/>
      <c r="ROG89"/>
      <c r="ROH89"/>
      <c r="ROI89"/>
      <c r="ROJ89"/>
      <c r="ROK89"/>
      <c r="ROL89"/>
      <c r="ROM89"/>
      <c r="RON89"/>
      <c r="ROO89"/>
      <c r="ROP89"/>
      <c r="ROQ89"/>
      <c r="ROR89"/>
      <c r="ROS89"/>
      <c r="ROT89"/>
      <c r="ROU89"/>
      <c r="ROV89"/>
      <c r="ROW89"/>
      <c r="ROX89"/>
      <c r="ROY89"/>
      <c r="ROZ89"/>
      <c r="RPA89"/>
      <c r="RPB89"/>
      <c r="RPC89"/>
      <c r="RPD89"/>
      <c r="RPE89"/>
      <c r="RPF89"/>
      <c r="RPG89"/>
      <c r="RPH89"/>
      <c r="RPI89"/>
      <c r="RPJ89"/>
      <c r="RPK89"/>
      <c r="RPL89"/>
      <c r="RPM89"/>
      <c r="RPN89"/>
      <c r="RPO89"/>
      <c r="RPP89"/>
      <c r="RPQ89"/>
      <c r="RPR89"/>
      <c r="RPS89"/>
      <c r="RPT89"/>
      <c r="RPU89"/>
      <c r="RPV89"/>
      <c r="RPW89"/>
      <c r="RPX89"/>
      <c r="RPY89"/>
      <c r="RPZ89"/>
      <c r="RQA89"/>
      <c r="RQB89"/>
      <c r="RQC89"/>
      <c r="RQD89"/>
      <c r="RQE89"/>
      <c r="RQF89"/>
      <c r="RQG89"/>
      <c r="RQH89"/>
      <c r="RQI89"/>
      <c r="RQJ89"/>
      <c r="RQK89"/>
      <c r="RQL89"/>
      <c r="RQM89"/>
      <c r="RQN89"/>
      <c r="RQO89"/>
      <c r="RQP89"/>
      <c r="RQQ89"/>
      <c r="RQR89"/>
      <c r="RQS89"/>
      <c r="RQT89"/>
      <c r="RQU89"/>
      <c r="RQV89"/>
      <c r="RQW89"/>
      <c r="RQX89"/>
      <c r="RQY89"/>
      <c r="RQZ89"/>
      <c r="RRA89"/>
      <c r="RRB89"/>
      <c r="RRC89"/>
      <c r="RRD89"/>
      <c r="RRE89"/>
      <c r="RRF89"/>
      <c r="RRG89"/>
      <c r="RRH89"/>
      <c r="RRI89"/>
      <c r="RRJ89"/>
      <c r="RRK89"/>
      <c r="RRL89"/>
      <c r="RRM89"/>
      <c r="RRN89"/>
      <c r="RRO89"/>
      <c r="RRP89"/>
      <c r="RRQ89"/>
      <c r="RRR89"/>
      <c r="RRS89"/>
      <c r="RRT89"/>
      <c r="RRU89"/>
      <c r="RRV89"/>
      <c r="RRW89"/>
      <c r="RRX89"/>
      <c r="RRY89"/>
      <c r="RRZ89"/>
      <c r="RSA89"/>
      <c r="RSB89"/>
      <c r="RSC89"/>
      <c r="RSD89"/>
      <c r="RSE89"/>
      <c r="RSF89"/>
      <c r="RSG89"/>
      <c r="RSH89"/>
      <c r="RSI89"/>
      <c r="RSJ89"/>
      <c r="RSK89"/>
      <c r="RSL89"/>
      <c r="RSM89"/>
      <c r="RSN89"/>
      <c r="RSO89"/>
      <c r="RSP89"/>
      <c r="RSQ89"/>
      <c r="RSR89"/>
      <c r="RSS89"/>
      <c r="RST89"/>
      <c r="RSU89"/>
      <c r="RSV89"/>
      <c r="RSW89"/>
      <c r="RSX89"/>
      <c r="RSY89"/>
      <c r="RSZ89"/>
      <c r="RTA89"/>
      <c r="RTB89"/>
      <c r="RTC89"/>
      <c r="RTD89"/>
      <c r="RTE89"/>
      <c r="RTF89"/>
      <c r="RTG89"/>
      <c r="RTH89"/>
      <c r="RTI89"/>
      <c r="RTJ89"/>
      <c r="RTK89"/>
      <c r="RTL89"/>
      <c r="RTM89"/>
      <c r="RTN89"/>
      <c r="RTO89"/>
      <c r="RTP89"/>
      <c r="RTQ89"/>
      <c r="RTR89"/>
      <c r="RTS89"/>
      <c r="RTT89"/>
      <c r="RTU89"/>
      <c r="RTV89"/>
      <c r="RTW89"/>
      <c r="RTX89"/>
      <c r="RTY89"/>
      <c r="RTZ89"/>
      <c r="RUA89"/>
      <c r="RUB89"/>
      <c r="RUC89"/>
      <c r="RUD89"/>
      <c r="RUE89"/>
      <c r="RUF89"/>
      <c r="RUG89"/>
      <c r="RUH89"/>
      <c r="RUI89"/>
      <c r="RUJ89"/>
      <c r="RUK89"/>
      <c r="RUL89"/>
      <c r="RUM89"/>
      <c r="RUN89"/>
      <c r="RUO89"/>
      <c r="RUP89"/>
      <c r="RUQ89"/>
      <c r="RUR89"/>
      <c r="RUS89"/>
      <c r="RUT89"/>
      <c r="RUU89"/>
      <c r="RUV89"/>
      <c r="RUW89"/>
      <c r="RUX89"/>
      <c r="RUY89"/>
      <c r="RUZ89"/>
      <c r="RVA89"/>
      <c r="RVB89"/>
      <c r="RVC89"/>
      <c r="RVD89"/>
      <c r="RVE89"/>
      <c r="RVF89"/>
      <c r="RVG89"/>
      <c r="RVH89"/>
      <c r="RVI89"/>
      <c r="RVJ89"/>
      <c r="RVK89"/>
      <c r="RVL89"/>
      <c r="RVM89"/>
      <c r="RVN89"/>
      <c r="RVO89"/>
      <c r="RVP89"/>
      <c r="RVQ89"/>
      <c r="RVR89"/>
      <c r="RVS89"/>
      <c r="RVT89"/>
      <c r="RVU89"/>
      <c r="RVV89"/>
      <c r="RVW89"/>
      <c r="RVX89"/>
      <c r="RVY89"/>
      <c r="RVZ89"/>
      <c r="RWA89"/>
      <c r="RWB89"/>
      <c r="RWC89"/>
      <c r="RWD89"/>
      <c r="RWE89"/>
      <c r="RWF89"/>
      <c r="RWG89"/>
      <c r="RWH89"/>
      <c r="RWI89"/>
      <c r="RWJ89"/>
      <c r="RWK89"/>
      <c r="RWL89"/>
      <c r="RWM89"/>
      <c r="RWN89"/>
      <c r="RWO89"/>
      <c r="RWP89"/>
      <c r="RWQ89"/>
      <c r="RWR89"/>
      <c r="RWS89"/>
      <c r="RWT89"/>
      <c r="RWU89"/>
      <c r="RWV89"/>
      <c r="RWW89"/>
      <c r="RWX89"/>
      <c r="RWY89"/>
      <c r="RWZ89"/>
      <c r="RXA89"/>
      <c r="RXB89"/>
      <c r="RXC89"/>
      <c r="RXD89"/>
      <c r="RXE89"/>
      <c r="RXF89"/>
      <c r="RXG89"/>
      <c r="RXH89"/>
      <c r="RXI89"/>
      <c r="RXJ89"/>
      <c r="RXK89"/>
      <c r="RXL89"/>
      <c r="RXM89"/>
      <c r="RXN89"/>
      <c r="RXO89"/>
      <c r="RXP89"/>
      <c r="RXQ89"/>
      <c r="RXR89"/>
      <c r="RXS89"/>
      <c r="RXT89"/>
      <c r="RXU89"/>
      <c r="RXV89"/>
      <c r="RXW89"/>
      <c r="RXX89"/>
      <c r="RXY89"/>
      <c r="RXZ89"/>
      <c r="RYA89"/>
      <c r="RYB89"/>
      <c r="RYC89"/>
      <c r="RYD89"/>
      <c r="RYE89"/>
      <c r="RYF89"/>
      <c r="RYG89"/>
      <c r="RYH89"/>
      <c r="RYI89"/>
      <c r="RYJ89"/>
      <c r="RYK89"/>
      <c r="RYL89"/>
      <c r="RYM89"/>
      <c r="RYN89"/>
      <c r="RYO89"/>
      <c r="RYP89"/>
      <c r="RYQ89"/>
      <c r="RYR89"/>
      <c r="RYS89"/>
      <c r="RYT89"/>
      <c r="RYU89"/>
      <c r="RYV89"/>
      <c r="RYW89"/>
      <c r="RYX89"/>
      <c r="RYY89"/>
      <c r="RYZ89"/>
      <c r="RZA89"/>
      <c r="RZB89"/>
      <c r="RZC89"/>
      <c r="RZD89"/>
      <c r="RZE89"/>
      <c r="RZF89"/>
      <c r="RZG89"/>
      <c r="RZH89"/>
      <c r="RZI89"/>
      <c r="RZJ89"/>
      <c r="RZK89"/>
      <c r="RZL89"/>
      <c r="RZM89"/>
      <c r="RZN89"/>
      <c r="RZO89"/>
      <c r="RZP89"/>
      <c r="RZQ89"/>
      <c r="RZR89"/>
      <c r="RZS89"/>
      <c r="RZT89"/>
      <c r="RZU89"/>
      <c r="RZV89"/>
      <c r="RZW89"/>
      <c r="RZX89"/>
      <c r="RZY89"/>
      <c r="RZZ89"/>
      <c r="SAA89"/>
      <c r="SAB89"/>
      <c r="SAC89"/>
      <c r="SAD89"/>
      <c r="SAE89"/>
      <c r="SAF89"/>
      <c r="SAG89"/>
      <c r="SAH89"/>
      <c r="SAI89"/>
      <c r="SAJ89"/>
      <c r="SAK89"/>
      <c r="SAL89"/>
      <c r="SAM89"/>
      <c r="SAN89"/>
      <c r="SAO89"/>
      <c r="SAP89"/>
      <c r="SAQ89"/>
      <c r="SAR89"/>
      <c r="SAS89"/>
      <c r="SAT89"/>
      <c r="SAU89"/>
      <c r="SAV89"/>
      <c r="SAW89"/>
      <c r="SAX89"/>
      <c r="SAY89"/>
      <c r="SAZ89"/>
      <c r="SBA89"/>
      <c r="SBB89"/>
      <c r="SBC89"/>
      <c r="SBD89"/>
      <c r="SBE89"/>
      <c r="SBF89"/>
      <c r="SBG89"/>
      <c r="SBH89"/>
      <c r="SBI89"/>
      <c r="SBJ89"/>
      <c r="SBK89"/>
      <c r="SBL89"/>
      <c r="SBM89"/>
      <c r="SBN89"/>
      <c r="SBO89"/>
      <c r="SBP89"/>
      <c r="SBQ89"/>
      <c r="SBR89"/>
      <c r="SBS89"/>
      <c r="SBT89"/>
      <c r="SBU89"/>
      <c r="SBV89"/>
      <c r="SBW89"/>
      <c r="SBX89"/>
      <c r="SBY89"/>
      <c r="SBZ89"/>
      <c r="SCA89"/>
      <c r="SCB89"/>
      <c r="SCC89"/>
      <c r="SCD89"/>
      <c r="SCE89"/>
      <c r="SCF89"/>
      <c r="SCG89"/>
      <c r="SCH89"/>
      <c r="SCI89"/>
      <c r="SCJ89"/>
      <c r="SCK89"/>
      <c r="SCL89"/>
      <c r="SCM89"/>
      <c r="SCN89"/>
      <c r="SCO89"/>
      <c r="SCP89"/>
      <c r="SCQ89"/>
      <c r="SCR89"/>
      <c r="SCS89"/>
      <c r="SCT89"/>
      <c r="SCU89"/>
      <c r="SCV89"/>
      <c r="SCW89"/>
      <c r="SCX89"/>
      <c r="SCY89"/>
      <c r="SCZ89"/>
      <c r="SDA89"/>
      <c r="SDB89"/>
      <c r="SDC89"/>
      <c r="SDD89"/>
      <c r="SDE89"/>
      <c r="SDF89"/>
      <c r="SDG89"/>
      <c r="SDH89"/>
      <c r="SDI89"/>
      <c r="SDJ89"/>
      <c r="SDK89"/>
      <c r="SDL89"/>
      <c r="SDM89"/>
      <c r="SDN89"/>
      <c r="SDO89"/>
      <c r="SDP89"/>
      <c r="SDQ89"/>
      <c r="SDR89"/>
      <c r="SDS89"/>
      <c r="SDT89"/>
      <c r="SDU89"/>
      <c r="SDV89"/>
      <c r="SDW89"/>
      <c r="SDX89"/>
      <c r="SDY89"/>
      <c r="SDZ89"/>
      <c r="SEA89"/>
      <c r="SEB89"/>
      <c r="SEC89"/>
      <c r="SED89"/>
      <c r="SEE89"/>
      <c r="SEF89"/>
      <c r="SEG89"/>
      <c r="SEH89"/>
      <c r="SEI89"/>
      <c r="SEJ89"/>
      <c r="SEK89"/>
      <c r="SEL89"/>
      <c r="SEM89"/>
      <c r="SEN89"/>
      <c r="SEO89"/>
      <c r="SEP89"/>
      <c r="SEQ89"/>
      <c r="SER89"/>
      <c r="SES89"/>
      <c r="SET89"/>
      <c r="SEU89"/>
      <c r="SEV89"/>
      <c r="SEW89"/>
      <c r="SEX89"/>
      <c r="SEY89"/>
      <c r="SEZ89"/>
      <c r="SFA89"/>
      <c r="SFB89"/>
      <c r="SFC89"/>
      <c r="SFD89"/>
      <c r="SFE89"/>
      <c r="SFF89"/>
      <c r="SFG89"/>
      <c r="SFH89"/>
      <c r="SFI89"/>
      <c r="SFJ89"/>
      <c r="SFK89"/>
      <c r="SFL89"/>
      <c r="SFM89"/>
      <c r="SFN89"/>
      <c r="SFO89"/>
      <c r="SFP89"/>
      <c r="SFQ89"/>
      <c r="SFR89"/>
      <c r="SFS89"/>
      <c r="SFT89"/>
      <c r="SFU89"/>
      <c r="SFV89"/>
      <c r="SFW89"/>
      <c r="SFX89"/>
      <c r="SFY89"/>
      <c r="SFZ89"/>
      <c r="SGA89"/>
      <c r="SGB89"/>
      <c r="SGC89"/>
      <c r="SGD89"/>
      <c r="SGE89"/>
      <c r="SGF89"/>
      <c r="SGG89"/>
      <c r="SGH89"/>
      <c r="SGI89"/>
      <c r="SGJ89"/>
      <c r="SGK89"/>
      <c r="SGL89"/>
      <c r="SGM89"/>
      <c r="SGN89"/>
      <c r="SGO89"/>
      <c r="SGP89"/>
      <c r="SGQ89"/>
      <c r="SGR89"/>
      <c r="SGS89"/>
      <c r="SGT89"/>
      <c r="SGU89"/>
      <c r="SGV89"/>
      <c r="SGW89"/>
      <c r="SGX89"/>
      <c r="SGY89"/>
      <c r="SGZ89"/>
      <c r="SHA89"/>
      <c r="SHB89"/>
      <c r="SHC89"/>
      <c r="SHD89"/>
      <c r="SHE89"/>
      <c r="SHF89"/>
      <c r="SHG89"/>
      <c r="SHH89"/>
      <c r="SHI89"/>
      <c r="SHJ89"/>
      <c r="SHK89"/>
      <c r="SHL89"/>
      <c r="SHM89"/>
      <c r="SHN89"/>
      <c r="SHO89"/>
      <c r="SHP89"/>
      <c r="SHQ89"/>
      <c r="SHR89"/>
      <c r="SHS89"/>
      <c r="SHT89"/>
      <c r="SHU89"/>
      <c r="SHV89"/>
      <c r="SHW89"/>
      <c r="SHX89"/>
      <c r="SHY89"/>
      <c r="SHZ89"/>
      <c r="SIA89"/>
      <c r="SIB89"/>
      <c r="SIC89"/>
      <c r="SID89"/>
      <c r="SIE89"/>
      <c r="SIF89"/>
      <c r="SIG89"/>
      <c r="SIH89"/>
      <c r="SII89"/>
      <c r="SIJ89"/>
      <c r="SIK89"/>
      <c r="SIL89"/>
      <c r="SIM89"/>
      <c r="SIN89"/>
      <c r="SIO89"/>
      <c r="SIP89"/>
      <c r="SIQ89"/>
      <c r="SIR89"/>
      <c r="SIS89"/>
      <c r="SIT89"/>
      <c r="SIU89"/>
      <c r="SIV89"/>
      <c r="SIW89"/>
      <c r="SIX89"/>
      <c r="SIY89"/>
      <c r="SIZ89"/>
      <c r="SJA89"/>
      <c r="SJB89"/>
      <c r="SJC89"/>
      <c r="SJD89"/>
      <c r="SJE89"/>
      <c r="SJF89"/>
      <c r="SJG89"/>
      <c r="SJH89"/>
      <c r="SJI89"/>
      <c r="SJJ89"/>
      <c r="SJK89"/>
      <c r="SJL89"/>
      <c r="SJM89"/>
      <c r="SJN89"/>
      <c r="SJO89"/>
      <c r="SJP89"/>
      <c r="SJQ89"/>
      <c r="SJR89"/>
      <c r="SJS89"/>
      <c r="SJT89"/>
      <c r="SJU89"/>
      <c r="SJV89"/>
      <c r="SJW89"/>
      <c r="SJX89"/>
      <c r="SJY89"/>
      <c r="SJZ89"/>
      <c r="SKA89"/>
      <c r="SKB89"/>
      <c r="SKC89"/>
      <c r="SKD89"/>
      <c r="SKE89"/>
      <c r="SKF89"/>
      <c r="SKG89"/>
      <c r="SKH89"/>
      <c r="SKI89"/>
      <c r="SKJ89"/>
      <c r="SKK89"/>
      <c r="SKL89"/>
      <c r="SKM89"/>
      <c r="SKN89"/>
      <c r="SKO89"/>
      <c r="SKP89"/>
      <c r="SKQ89"/>
      <c r="SKR89"/>
      <c r="SKS89"/>
      <c r="SKT89"/>
      <c r="SKU89"/>
      <c r="SKV89"/>
      <c r="SKW89"/>
      <c r="SKX89"/>
      <c r="SKY89"/>
      <c r="SKZ89"/>
      <c r="SLA89"/>
      <c r="SLB89"/>
      <c r="SLC89"/>
      <c r="SLD89"/>
      <c r="SLE89"/>
      <c r="SLF89"/>
      <c r="SLG89"/>
      <c r="SLH89"/>
      <c r="SLI89"/>
      <c r="SLJ89"/>
      <c r="SLK89"/>
      <c r="SLL89"/>
      <c r="SLM89"/>
      <c r="SLN89"/>
      <c r="SLO89"/>
      <c r="SLP89"/>
      <c r="SLQ89"/>
      <c r="SLR89"/>
      <c r="SLS89"/>
      <c r="SLT89"/>
      <c r="SLU89"/>
      <c r="SLV89"/>
      <c r="SLW89"/>
      <c r="SLX89"/>
      <c r="SLY89"/>
      <c r="SLZ89"/>
      <c r="SMA89"/>
      <c r="SMB89"/>
      <c r="SMC89"/>
      <c r="SMD89"/>
      <c r="SME89"/>
      <c r="SMF89"/>
      <c r="SMG89"/>
      <c r="SMH89"/>
      <c r="SMI89"/>
      <c r="SMJ89"/>
      <c r="SMK89"/>
      <c r="SML89"/>
      <c r="SMM89"/>
      <c r="SMN89"/>
      <c r="SMO89"/>
      <c r="SMP89"/>
      <c r="SMQ89"/>
      <c r="SMR89"/>
      <c r="SMS89"/>
      <c r="SMT89"/>
      <c r="SMU89"/>
      <c r="SMV89"/>
      <c r="SMW89"/>
      <c r="SMX89"/>
      <c r="SMY89"/>
      <c r="SMZ89"/>
      <c r="SNA89"/>
      <c r="SNB89"/>
      <c r="SNC89"/>
      <c r="SND89"/>
      <c r="SNE89"/>
      <c r="SNF89"/>
      <c r="SNG89"/>
      <c r="SNH89"/>
      <c r="SNI89"/>
      <c r="SNJ89"/>
      <c r="SNK89"/>
      <c r="SNL89"/>
      <c r="SNM89"/>
      <c r="SNN89"/>
      <c r="SNO89"/>
      <c r="SNP89"/>
      <c r="SNQ89"/>
      <c r="SNR89"/>
      <c r="SNS89"/>
      <c r="SNT89"/>
      <c r="SNU89"/>
      <c r="SNV89"/>
      <c r="SNW89"/>
      <c r="SNX89"/>
      <c r="SNY89"/>
      <c r="SNZ89"/>
      <c r="SOA89"/>
      <c r="SOB89"/>
      <c r="SOC89"/>
      <c r="SOD89"/>
      <c r="SOE89"/>
      <c r="SOF89"/>
      <c r="SOG89"/>
      <c r="SOH89"/>
      <c r="SOI89"/>
      <c r="SOJ89"/>
      <c r="SOK89"/>
      <c r="SOL89"/>
      <c r="SOM89"/>
      <c r="SON89"/>
      <c r="SOO89"/>
      <c r="SOP89"/>
      <c r="SOQ89"/>
      <c r="SOR89"/>
      <c r="SOS89"/>
      <c r="SOT89"/>
      <c r="SOU89"/>
      <c r="SOV89"/>
      <c r="SOW89"/>
      <c r="SOX89"/>
      <c r="SOY89"/>
      <c r="SOZ89"/>
      <c r="SPA89"/>
      <c r="SPB89"/>
      <c r="SPC89"/>
      <c r="SPD89"/>
      <c r="SPE89"/>
      <c r="SPF89"/>
      <c r="SPG89"/>
      <c r="SPH89"/>
      <c r="SPI89"/>
      <c r="SPJ89"/>
      <c r="SPK89"/>
      <c r="SPL89"/>
      <c r="SPM89"/>
      <c r="SPN89"/>
      <c r="SPO89"/>
      <c r="SPP89"/>
      <c r="SPQ89"/>
      <c r="SPR89"/>
      <c r="SPS89"/>
      <c r="SPT89"/>
      <c r="SPU89"/>
      <c r="SPV89"/>
      <c r="SPW89"/>
      <c r="SPX89"/>
      <c r="SPY89"/>
      <c r="SPZ89"/>
      <c r="SQA89"/>
      <c r="SQB89"/>
      <c r="SQC89"/>
      <c r="SQD89"/>
      <c r="SQE89"/>
      <c r="SQF89"/>
      <c r="SQG89"/>
      <c r="SQH89"/>
      <c r="SQI89"/>
      <c r="SQJ89"/>
      <c r="SQK89"/>
      <c r="SQL89"/>
      <c r="SQM89"/>
      <c r="SQN89"/>
      <c r="SQO89"/>
      <c r="SQP89"/>
      <c r="SQQ89"/>
      <c r="SQR89"/>
      <c r="SQS89"/>
      <c r="SQT89"/>
      <c r="SQU89"/>
      <c r="SQV89"/>
      <c r="SQW89"/>
      <c r="SQX89"/>
      <c r="SQY89"/>
      <c r="SQZ89"/>
      <c r="SRA89"/>
      <c r="SRB89"/>
      <c r="SRC89"/>
      <c r="SRD89"/>
      <c r="SRE89"/>
      <c r="SRF89"/>
      <c r="SRG89"/>
      <c r="SRH89"/>
      <c r="SRI89"/>
      <c r="SRJ89"/>
      <c r="SRK89"/>
      <c r="SRL89"/>
      <c r="SRM89"/>
      <c r="SRN89"/>
      <c r="SRO89"/>
      <c r="SRP89"/>
      <c r="SRQ89"/>
      <c r="SRR89"/>
      <c r="SRS89"/>
      <c r="SRT89"/>
      <c r="SRU89"/>
      <c r="SRV89"/>
      <c r="SRW89"/>
      <c r="SRX89"/>
      <c r="SRY89"/>
      <c r="SRZ89"/>
      <c r="SSA89"/>
      <c r="SSB89"/>
      <c r="SSC89"/>
      <c r="SSD89"/>
      <c r="SSE89"/>
      <c r="SSF89"/>
      <c r="SSG89"/>
      <c r="SSH89"/>
      <c r="SSI89"/>
      <c r="SSJ89"/>
      <c r="SSK89"/>
      <c r="SSL89"/>
      <c r="SSM89"/>
      <c r="SSN89"/>
      <c r="SSO89"/>
      <c r="SSP89"/>
      <c r="SSQ89"/>
      <c r="SSR89"/>
      <c r="SSS89"/>
      <c r="SST89"/>
      <c r="SSU89"/>
      <c r="SSV89"/>
      <c r="SSW89"/>
      <c r="SSX89"/>
      <c r="SSY89"/>
      <c r="SSZ89"/>
      <c r="STA89"/>
      <c r="STB89"/>
      <c r="STC89"/>
      <c r="STD89"/>
      <c r="STE89"/>
      <c r="STF89"/>
      <c r="STG89"/>
      <c r="STH89"/>
      <c r="STI89"/>
      <c r="STJ89"/>
      <c r="STK89"/>
      <c r="STL89"/>
      <c r="STM89"/>
      <c r="STN89"/>
      <c r="STO89"/>
      <c r="STP89"/>
      <c r="STQ89"/>
      <c r="STR89"/>
      <c r="STS89"/>
      <c r="STT89"/>
      <c r="STU89"/>
      <c r="STV89"/>
      <c r="STW89"/>
      <c r="STX89"/>
      <c r="STY89"/>
      <c r="STZ89"/>
      <c r="SUA89"/>
      <c r="SUB89"/>
      <c r="SUC89"/>
      <c r="SUD89"/>
      <c r="SUE89"/>
      <c r="SUF89"/>
      <c r="SUG89"/>
      <c r="SUH89"/>
      <c r="SUI89"/>
      <c r="SUJ89"/>
      <c r="SUK89"/>
      <c r="SUL89"/>
      <c r="SUM89"/>
      <c r="SUN89"/>
      <c r="SUO89"/>
      <c r="SUP89"/>
      <c r="SUQ89"/>
      <c r="SUR89"/>
      <c r="SUS89"/>
      <c r="SUT89"/>
      <c r="SUU89"/>
      <c r="SUV89"/>
      <c r="SUW89"/>
      <c r="SUX89"/>
      <c r="SUY89"/>
      <c r="SUZ89"/>
      <c r="SVA89"/>
      <c r="SVB89"/>
      <c r="SVC89"/>
      <c r="SVD89"/>
      <c r="SVE89"/>
      <c r="SVF89"/>
      <c r="SVG89"/>
      <c r="SVH89"/>
      <c r="SVI89"/>
      <c r="SVJ89"/>
      <c r="SVK89"/>
      <c r="SVL89"/>
      <c r="SVM89"/>
      <c r="SVN89"/>
      <c r="SVO89"/>
      <c r="SVP89"/>
      <c r="SVQ89"/>
      <c r="SVR89"/>
      <c r="SVS89"/>
      <c r="SVT89"/>
      <c r="SVU89"/>
      <c r="SVV89"/>
      <c r="SVW89"/>
      <c r="SVX89"/>
      <c r="SVY89"/>
      <c r="SVZ89"/>
      <c r="SWA89"/>
      <c r="SWB89"/>
      <c r="SWC89"/>
      <c r="SWD89"/>
      <c r="SWE89"/>
      <c r="SWF89"/>
      <c r="SWG89"/>
      <c r="SWH89"/>
      <c r="SWI89"/>
      <c r="SWJ89"/>
      <c r="SWK89"/>
      <c r="SWL89"/>
      <c r="SWM89"/>
      <c r="SWN89"/>
      <c r="SWO89"/>
      <c r="SWP89"/>
      <c r="SWQ89"/>
      <c r="SWR89"/>
      <c r="SWS89"/>
      <c r="SWT89"/>
      <c r="SWU89"/>
      <c r="SWV89"/>
      <c r="SWW89"/>
      <c r="SWX89"/>
      <c r="SWY89"/>
      <c r="SWZ89"/>
      <c r="SXA89"/>
      <c r="SXB89"/>
      <c r="SXC89"/>
      <c r="SXD89"/>
      <c r="SXE89"/>
      <c r="SXF89"/>
      <c r="SXG89"/>
      <c r="SXH89"/>
      <c r="SXI89"/>
      <c r="SXJ89"/>
      <c r="SXK89"/>
      <c r="SXL89"/>
      <c r="SXM89"/>
      <c r="SXN89"/>
      <c r="SXO89"/>
      <c r="SXP89"/>
      <c r="SXQ89"/>
      <c r="SXR89"/>
      <c r="SXS89"/>
      <c r="SXT89"/>
      <c r="SXU89"/>
      <c r="SXV89"/>
      <c r="SXW89"/>
      <c r="SXX89"/>
      <c r="SXY89"/>
      <c r="SXZ89"/>
      <c r="SYA89"/>
      <c r="SYB89"/>
      <c r="SYC89"/>
      <c r="SYD89"/>
      <c r="SYE89"/>
      <c r="SYF89"/>
      <c r="SYG89"/>
      <c r="SYH89"/>
      <c r="SYI89"/>
      <c r="SYJ89"/>
      <c r="SYK89"/>
      <c r="SYL89"/>
      <c r="SYM89"/>
      <c r="SYN89"/>
      <c r="SYO89"/>
      <c r="SYP89"/>
      <c r="SYQ89"/>
      <c r="SYR89"/>
      <c r="SYS89"/>
      <c r="SYT89"/>
      <c r="SYU89"/>
      <c r="SYV89"/>
      <c r="SYW89"/>
      <c r="SYX89"/>
      <c r="SYY89"/>
      <c r="SYZ89"/>
      <c r="SZA89"/>
      <c r="SZB89"/>
      <c r="SZC89"/>
      <c r="SZD89"/>
      <c r="SZE89"/>
      <c r="SZF89"/>
      <c r="SZG89"/>
      <c r="SZH89"/>
      <c r="SZI89"/>
      <c r="SZJ89"/>
      <c r="SZK89"/>
      <c r="SZL89"/>
      <c r="SZM89"/>
      <c r="SZN89"/>
      <c r="SZO89"/>
      <c r="SZP89"/>
      <c r="SZQ89"/>
      <c r="SZR89"/>
      <c r="SZS89"/>
      <c r="SZT89"/>
      <c r="SZU89"/>
      <c r="SZV89"/>
      <c r="SZW89"/>
      <c r="SZX89"/>
      <c r="SZY89"/>
      <c r="SZZ89"/>
      <c r="TAA89"/>
      <c r="TAB89"/>
      <c r="TAC89"/>
      <c r="TAD89"/>
      <c r="TAE89"/>
      <c r="TAF89"/>
      <c r="TAG89"/>
      <c r="TAH89"/>
      <c r="TAI89"/>
      <c r="TAJ89"/>
      <c r="TAK89"/>
      <c r="TAL89"/>
      <c r="TAM89"/>
      <c r="TAN89"/>
      <c r="TAO89"/>
      <c r="TAP89"/>
      <c r="TAQ89"/>
      <c r="TAR89"/>
      <c r="TAS89"/>
      <c r="TAT89"/>
      <c r="TAU89"/>
      <c r="TAV89"/>
      <c r="TAW89"/>
      <c r="TAX89"/>
      <c r="TAY89"/>
      <c r="TAZ89"/>
      <c r="TBA89"/>
      <c r="TBB89"/>
      <c r="TBC89"/>
      <c r="TBD89"/>
      <c r="TBE89"/>
      <c r="TBF89"/>
      <c r="TBG89"/>
      <c r="TBH89"/>
      <c r="TBI89"/>
      <c r="TBJ89"/>
      <c r="TBK89"/>
      <c r="TBL89"/>
      <c r="TBM89"/>
      <c r="TBN89"/>
      <c r="TBO89"/>
      <c r="TBP89"/>
      <c r="TBQ89"/>
      <c r="TBR89"/>
      <c r="TBS89"/>
      <c r="TBT89"/>
      <c r="TBU89"/>
      <c r="TBV89"/>
      <c r="TBW89"/>
      <c r="TBX89"/>
      <c r="TBY89"/>
      <c r="TBZ89"/>
      <c r="TCA89"/>
      <c r="TCB89"/>
      <c r="TCC89"/>
      <c r="TCD89"/>
      <c r="TCE89"/>
      <c r="TCF89"/>
      <c r="TCG89"/>
      <c r="TCH89"/>
      <c r="TCI89"/>
      <c r="TCJ89"/>
      <c r="TCK89"/>
      <c r="TCL89"/>
      <c r="TCM89"/>
      <c r="TCN89"/>
      <c r="TCO89"/>
      <c r="TCP89"/>
      <c r="TCQ89"/>
      <c r="TCR89"/>
      <c r="TCS89"/>
      <c r="TCT89"/>
      <c r="TCU89"/>
      <c r="TCV89"/>
      <c r="TCW89"/>
      <c r="TCX89"/>
      <c r="TCY89"/>
      <c r="TCZ89"/>
      <c r="TDA89"/>
      <c r="TDB89"/>
      <c r="TDC89"/>
      <c r="TDD89"/>
      <c r="TDE89"/>
      <c r="TDF89"/>
      <c r="TDG89"/>
      <c r="TDH89"/>
      <c r="TDI89"/>
      <c r="TDJ89"/>
      <c r="TDK89"/>
      <c r="TDL89"/>
      <c r="TDM89"/>
      <c r="TDN89"/>
      <c r="TDO89"/>
      <c r="TDP89"/>
      <c r="TDQ89"/>
      <c r="TDR89"/>
      <c r="TDS89"/>
      <c r="TDT89"/>
      <c r="TDU89"/>
      <c r="TDV89"/>
      <c r="TDW89"/>
      <c r="TDX89"/>
      <c r="TDY89"/>
      <c r="TDZ89"/>
      <c r="TEA89"/>
      <c r="TEB89"/>
      <c r="TEC89"/>
      <c r="TED89"/>
      <c r="TEE89"/>
      <c r="TEF89"/>
      <c r="TEG89"/>
      <c r="TEH89"/>
      <c r="TEI89"/>
      <c r="TEJ89"/>
      <c r="TEK89"/>
      <c r="TEL89"/>
      <c r="TEM89"/>
      <c r="TEN89"/>
      <c r="TEO89"/>
      <c r="TEP89"/>
      <c r="TEQ89"/>
      <c r="TER89"/>
      <c r="TES89"/>
      <c r="TET89"/>
      <c r="TEU89"/>
      <c r="TEV89"/>
      <c r="TEW89"/>
      <c r="TEX89"/>
      <c r="TEY89"/>
      <c r="TEZ89"/>
      <c r="TFA89"/>
      <c r="TFB89"/>
      <c r="TFC89"/>
      <c r="TFD89"/>
      <c r="TFE89"/>
      <c r="TFF89"/>
      <c r="TFG89"/>
      <c r="TFH89"/>
      <c r="TFI89"/>
      <c r="TFJ89"/>
      <c r="TFK89"/>
      <c r="TFL89"/>
      <c r="TFM89"/>
      <c r="TFN89"/>
      <c r="TFO89"/>
      <c r="TFP89"/>
      <c r="TFQ89"/>
      <c r="TFR89"/>
      <c r="TFS89"/>
      <c r="TFT89"/>
      <c r="TFU89"/>
      <c r="TFV89"/>
      <c r="TFW89"/>
      <c r="TFX89"/>
      <c r="TFY89"/>
      <c r="TFZ89"/>
      <c r="TGA89"/>
      <c r="TGB89"/>
      <c r="TGC89"/>
      <c r="TGD89"/>
      <c r="TGE89"/>
      <c r="TGF89"/>
      <c r="TGG89"/>
      <c r="TGH89"/>
      <c r="TGI89"/>
      <c r="TGJ89"/>
      <c r="TGK89"/>
      <c r="TGL89"/>
      <c r="TGM89"/>
      <c r="TGN89"/>
      <c r="TGO89"/>
      <c r="TGP89"/>
      <c r="TGQ89"/>
      <c r="TGR89"/>
      <c r="TGS89"/>
      <c r="TGT89"/>
      <c r="TGU89"/>
      <c r="TGV89"/>
      <c r="TGW89"/>
      <c r="TGX89"/>
      <c r="TGY89"/>
      <c r="TGZ89"/>
      <c r="THA89"/>
      <c r="THB89"/>
      <c r="THC89"/>
      <c r="THD89"/>
      <c r="THE89"/>
      <c r="THF89"/>
      <c r="THG89"/>
      <c r="THH89"/>
      <c r="THI89"/>
      <c r="THJ89"/>
      <c r="THK89"/>
      <c r="THL89"/>
      <c r="THM89"/>
      <c r="THN89"/>
      <c r="THO89"/>
      <c r="THP89"/>
      <c r="THQ89"/>
      <c r="THR89"/>
      <c r="THS89"/>
      <c r="THT89"/>
      <c r="THU89"/>
      <c r="THV89"/>
      <c r="THW89"/>
      <c r="THX89"/>
      <c r="THY89"/>
      <c r="THZ89"/>
      <c r="TIA89"/>
      <c r="TIB89"/>
      <c r="TIC89"/>
      <c r="TID89"/>
      <c r="TIE89"/>
      <c r="TIF89"/>
      <c r="TIG89"/>
      <c r="TIH89"/>
      <c r="TII89"/>
      <c r="TIJ89"/>
      <c r="TIK89"/>
      <c r="TIL89"/>
      <c r="TIM89"/>
      <c r="TIN89"/>
      <c r="TIO89"/>
      <c r="TIP89"/>
      <c r="TIQ89"/>
      <c r="TIR89"/>
      <c r="TIS89"/>
      <c r="TIT89"/>
      <c r="TIU89"/>
      <c r="TIV89"/>
      <c r="TIW89"/>
      <c r="TIX89"/>
      <c r="TIY89"/>
      <c r="TIZ89"/>
      <c r="TJA89"/>
      <c r="TJB89"/>
      <c r="TJC89"/>
      <c r="TJD89"/>
      <c r="TJE89"/>
      <c r="TJF89"/>
      <c r="TJG89"/>
      <c r="TJH89"/>
      <c r="TJI89"/>
      <c r="TJJ89"/>
      <c r="TJK89"/>
      <c r="TJL89"/>
      <c r="TJM89"/>
      <c r="TJN89"/>
      <c r="TJO89"/>
      <c r="TJP89"/>
      <c r="TJQ89"/>
      <c r="TJR89"/>
      <c r="TJS89"/>
      <c r="TJT89"/>
      <c r="TJU89"/>
      <c r="TJV89"/>
      <c r="TJW89"/>
      <c r="TJX89"/>
      <c r="TJY89"/>
      <c r="TJZ89"/>
      <c r="TKA89"/>
      <c r="TKB89"/>
      <c r="TKC89"/>
      <c r="TKD89"/>
      <c r="TKE89"/>
      <c r="TKF89"/>
      <c r="TKG89"/>
      <c r="TKH89"/>
      <c r="TKI89"/>
      <c r="TKJ89"/>
      <c r="TKK89"/>
      <c r="TKL89"/>
      <c r="TKM89"/>
      <c r="TKN89"/>
      <c r="TKO89"/>
      <c r="TKP89"/>
      <c r="TKQ89"/>
      <c r="TKR89"/>
      <c r="TKS89"/>
      <c r="TKT89"/>
      <c r="TKU89"/>
      <c r="TKV89"/>
      <c r="TKW89"/>
      <c r="TKX89"/>
      <c r="TKY89"/>
      <c r="TKZ89"/>
      <c r="TLA89"/>
      <c r="TLB89"/>
      <c r="TLC89"/>
      <c r="TLD89"/>
      <c r="TLE89"/>
      <c r="TLF89"/>
      <c r="TLG89"/>
      <c r="TLH89"/>
      <c r="TLI89"/>
      <c r="TLJ89"/>
      <c r="TLK89"/>
      <c r="TLL89"/>
      <c r="TLM89"/>
      <c r="TLN89"/>
      <c r="TLO89"/>
      <c r="TLP89"/>
      <c r="TLQ89"/>
      <c r="TLR89"/>
      <c r="TLS89"/>
      <c r="TLT89"/>
      <c r="TLU89"/>
      <c r="TLV89"/>
      <c r="TLW89"/>
      <c r="TLX89"/>
      <c r="TLY89"/>
      <c r="TLZ89"/>
      <c r="TMA89"/>
      <c r="TMB89"/>
      <c r="TMC89"/>
      <c r="TMD89"/>
      <c r="TME89"/>
      <c r="TMF89"/>
      <c r="TMG89"/>
      <c r="TMH89"/>
      <c r="TMI89"/>
      <c r="TMJ89"/>
      <c r="TMK89"/>
      <c r="TML89"/>
      <c r="TMM89"/>
      <c r="TMN89"/>
      <c r="TMO89"/>
      <c r="TMP89"/>
      <c r="TMQ89"/>
      <c r="TMR89"/>
      <c r="TMS89"/>
      <c r="TMT89"/>
      <c r="TMU89"/>
      <c r="TMV89"/>
      <c r="TMW89"/>
      <c r="TMX89"/>
      <c r="TMY89"/>
      <c r="TMZ89"/>
      <c r="TNA89"/>
      <c r="TNB89"/>
      <c r="TNC89"/>
      <c r="TND89"/>
      <c r="TNE89"/>
      <c r="TNF89"/>
      <c r="TNG89"/>
      <c r="TNH89"/>
      <c r="TNI89"/>
      <c r="TNJ89"/>
      <c r="TNK89"/>
      <c r="TNL89"/>
      <c r="TNM89"/>
      <c r="TNN89"/>
      <c r="TNO89"/>
      <c r="TNP89"/>
      <c r="TNQ89"/>
      <c r="TNR89"/>
      <c r="TNS89"/>
      <c r="TNT89"/>
      <c r="TNU89"/>
      <c r="TNV89"/>
      <c r="TNW89"/>
      <c r="TNX89"/>
      <c r="TNY89"/>
      <c r="TNZ89"/>
      <c r="TOA89"/>
      <c r="TOB89"/>
      <c r="TOC89"/>
      <c r="TOD89"/>
      <c r="TOE89"/>
      <c r="TOF89"/>
      <c r="TOG89"/>
      <c r="TOH89"/>
      <c r="TOI89"/>
      <c r="TOJ89"/>
      <c r="TOK89"/>
      <c r="TOL89"/>
      <c r="TOM89"/>
      <c r="TON89"/>
      <c r="TOO89"/>
      <c r="TOP89"/>
      <c r="TOQ89"/>
      <c r="TOR89"/>
      <c r="TOS89"/>
      <c r="TOT89"/>
      <c r="TOU89"/>
      <c r="TOV89"/>
      <c r="TOW89"/>
      <c r="TOX89"/>
      <c r="TOY89"/>
      <c r="TOZ89"/>
      <c r="TPA89"/>
      <c r="TPB89"/>
      <c r="TPC89"/>
      <c r="TPD89"/>
      <c r="TPE89"/>
      <c r="TPF89"/>
      <c r="TPG89"/>
      <c r="TPH89"/>
      <c r="TPI89"/>
      <c r="TPJ89"/>
      <c r="TPK89"/>
      <c r="TPL89"/>
      <c r="TPM89"/>
      <c r="TPN89"/>
      <c r="TPO89"/>
      <c r="TPP89"/>
      <c r="TPQ89"/>
      <c r="TPR89"/>
      <c r="TPS89"/>
      <c r="TPT89"/>
      <c r="TPU89"/>
      <c r="TPV89"/>
      <c r="TPW89"/>
      <c r="TPX89"/>
      <c r="TPY89"/>
      <c r="TPZ89"/>
      <c r="TQA89"/>
      <c r="TQB89"/>
      <c r="TQC89"/>
      <c r="TQD89"/>
      <c r="TQE89"/>
      <c r="TQF89"/>
      <c r="TQG89"/>
      <c r="TQH89"/>
      <c r="TQI89"/>
      <c r="TQJ89"/>
      <c r="TQK89"/>
      <c r="TQL89"/>
      <c r="TQM89"/>
      <c r="TQN89"/>
      <c r="TQO89"/>
      <c r="TQP89"/>
      <c r="TQQ89"/>
      <c r="TQR89"/>
      <c r="TQS89"/>
      <c r="TQT89"/>
      <c r="TQU89"/>
      <c r="TQV89"/>
      <c r="TQW89"/>
      <c r="TQX89"/>
      <c r="TQY89"/>
      <c r="TQZ89"/>
      <c r="TRA89"/>
      <c r="TRB89"/>
      <c r="TRC89"/>
      <c r="TRD89"/>
      <c r="TRE89"/>
      <c r="TRF89"/>
      <c r="TRG89"/>
      <c r="TRH89"/>
      <c r="TRI89"/>
      <c r="TRJ89"/>
      <c r="TRK89"/>
      <c r="TRL89"/>
      <c r="TRM89"/>
      <c r="TRN89"/>
      <c r="TRO89"/>
      <c r="TRP89"/>
      <c r="TRQ89"/>
      <c r="TRR89"/>
      <c r="TRS89"/>
      <c r="TRT89"/>
      <c r="TRU89"/>
      <c r="TRV89"/>
      <c r="TRW89"/>
      <c r="TRX89"/>
      <c r="TRY89"/>
      <c r="TRZ89"/>
      <c r="TSA89"/>
      <c r="TSB89"/>
      <c r="TSC89"/>
      <c r="TSD89"/>
      <c r="TSE89"/>
      <c r="TSF89"/>
      <c r="TSG89"/>
      <c r="TSH89"/>
      <c r="TSI89"/>
      <c r="TSJ89"/>
      <c r="TSK89"/>
      <c r="TSL89"/>
      <c r="TSM89"/>
      <c r="TSN89"/>
      <c r="TSO89"/>
      <c r="TSP89"/>
      <c r="TSQ89"/>
      <c r="TSR89"/>
      <c r="TSS89"/>
      <c r="TST89"/>
      <c r="TSU89"/>
      <c r="TSV89"/>
      <c r="TSW89"/>
      <c r="TSX89"/>
      <c r="TSY89"/>
      <c r="TSZ89"/>
      <c r="TTA89"/>
      <c r="TTB89"/>
      <c r="TTC89"/>
      <c r="TTD89"/>
      <c r="TTE89"/>
      <c r="TTF89"/>
      <c r="TTG89"/>
      <c r="TTH89"/>
      <c r="TTI89"/>
      <c r="TTJ89"/>
      <c r="TTK89"/>
      <c r="TTL89"/>
      <c r="TTM89"/>
      <c r="TTN89"/>
      <c r="TTO89"/>
      <c r="TTP89"/>
      <c r="TTQ89"/>
      <c r="TTR89"/>
      <c r="TTS89"/>
      <c r="TTT89"/>
      <c r="TTU89"/>
      <c r="TTV89"/>
      <c r="TTW89"/>
      <c r="TTX89"/>
      <c r="TTY89"/>
      <c r="TTZ89"/>
      <c r="TUA89"/>
      <c r="TUB89"/>
      <c r="TUC89"/>
      <c r="TUD89"/>
      <c r="TUE89"/>
      <c r="TUF89"/>
      <c r="TUG89"/>
      <c r="TUH89"/>
      <c r="TUI89"/>
      <c r="TUJ89"/>
      <c r="TUK89"/>
      <c r="TUL89"/>
      <c r="TUM89"/>
      <c r="TUN89"/>
      <c r="TUO89"/>
      <c r="TUP89"/>
      <c r="TUQ89"/>
      <c r="TUR89"/>
      <c r="TUS89"/>
      <c r="TUT89"/>
      <c r="TUU89"/>
      <c r="TUV89"/>
      <c r="TUW89"/>
      <c r="TUX89"/>
      <c r="TUY89"/>
      <c r="TUZ89"/>
      <c r="TVA89"/>
      <c r="TVB89"/>
      <c r="TVC89"/>
      <c r="TVD89"/>
      <c r="TVE89"/>
      <c r="TVF89"/>
      <c r="TVG89"/>
      <c r="TVH89"/>
      <c r="TVI89"/>
      <c r="TVJ89"/>
      <c r="TVK89"/>
      <c r="TVL89"/>
      <c r="TVM89"/>
      <c r="TVN89"/>
      <c r="TVO89"/>
      <c r="TVP89"/>
      <c r="TVQ89"/>
      <c r="TVR89"/>
      <c r="TVS89"/>
      <c r="TVT89"/>
      <c r="TVU89"/>
      <c r="TVV89"/>
      <c r="TVW89"/>
      <c r="TVX89"/>
      <c r="TVY89"/>
      <c r="TVZ89"/>
      <c r="TWA89"/>
      <c r="TWB89"/>
      <c r="TWC89"/>
      <c r="TWD89"/>
      <c r="TWE89"/>
      <c r="TWF89"/>
      <c r="TWG89"/>
      <c r="TWH89"/>
      <c r="TWI89"/>
      <c r="TWJ89"/>
      <c r="TWK89"/>
      <c r="TWL89"/>
      <c r="TWM89"/>
      <c r="TWN89"/>
      <c r="TWO89"/>
      <c r="TWP89"/>
      <c r="TWQ89"/>
      <c r="TWR89"/>
      <c r="TWS89"/>
      <c r="TWT89"/>
      <c r="TWU89"/>
      <c r="TWV89"/>
      <c r="TWW89"/>
      <c r="TWX89"/>
      <c r="TWY89"/>
      <c r="TWZ89"/>
      <c r="TXA89"/>
      <c r="TXB89"/>
      <c r="TXC89"/>
      <c r="TXD89"/>
      <c r="TXE89"/>
      <c r="TXF89"/>
      <c r="TXG89"/>
      <c r="TXH89"/>
      <c r="TXI89"/>
      <c r="TXJ89"/>
      <c r="TXK89"/>
      <c r="TXL89"/>
      <c r="TXM89"/>
      <c r="TXN89"/>
      <c r="TXO89"/>
      <c r="TXP89"/>
      <c r="TXQ89"/>
      <c r="TXR89"/>
      <c r="TXS89"/>
      <c r="TXT89"/>
      <c r="TXU89"/>
      <c r="TXV89"/>
      <c r="TXW89"/>
      <c r="TXX89"/>
      <c r="TXY89"/>
      <c r="TXZ89"/>
      <c r="TYA89"/>
      <c r="TYB89"/>
      <c r="TYC89"/>
      <c r="TYD89"/>
      <c r="TYE89"/>
      <c r="TYF89"/>
      <c r="TYG89"/>
      <c r="TYH89"/>
      <c r="TYI89"/>
      <c r="TYJ89"/>
      <c r="TYK89"/>
      <c r="TYL89"/>
      <c r="TYM89"/>
      <c r="TYN89"/>
      <c r="TYO89"/>
      <c r="TYP89"/>
      <c r="TYQ89"/>
      <c r="TYR89"/>
      <c r="TYS89"/>
      <c r="TYT89"/>
      <c r="TYU89"/>
      <c r="TYV89"/>
      <c r="TYW89"/>
      <c r="TYX89"/>
      <c r="TYY89"/>
      <c r="TYZ89"/>
      <c r="TZA89"/>
      <c r="TZB89"/>
      <c r="TZC89"/>
      <c r="TZD89"/>
      <c r="TZE89"/>
      <c r="TZF89"/>
      <c r="TZG89"/>
      <c r="TZH89"/>
      <c r="TZI89"/>
      <c r="TZJ89"/>
      <c r="TZK89"/>
      <c r="TZL89"/>
      <c r="TZM89"/>
      <c r="TZN89"/>
      <c r="TZO89"/>
      <c r="TZP89"/>
      <c r="TZQ89"/>
      <c r="TZR89"/>
      <c r="TZS89"/>
      <c r="TZT89"/>
      <c r="TZU89"/>
      <c r="TZV89"/>
      <c r="TZW89"/>
      <c r="TZX89"/>
      <c r="TZY89"/>
      <c r="TZZ89"/>
      <c r="UAA89"/>
      <c r="UAB89"/>
      <c r="UAC89"/>
      <c r="UAD89"/>
      <c r="UAE89"/>
      <c r="UAF89"/>
      <c r="UAG89"/>
      <c r="UAH89"/>
      <c r="UAI89"/>
      <c r="UAJ89"/>
      <c r="UAK89"/>
      <c r="UAL89"/>
      <c r="UAM89"/>
      <c r="UAN89"/>
      <c r="UAO89"/>
      <c r="UAP89"/>
      <c r="UAQ89"/>
      <c r="UAR89"/>
      <c r="UAS89"/>
      <c r="UAT89"/>
      <c r="UAU89"/>
      <c r="UAV89"/>
      <c r="UAW89"/>
      <c r="UAX89"/>
      <c r="UAY89"/>
      <c r="UAZ89"/>
      <c r="UBA89"/>
      <c r="UBB89"/>
      <c r="UBC89"/>
      <c r="UBD89"/>
      <c r="UBE89"/>
      <c r="UBF89"/>
      <c r="UBG89"/>
      <c r="UBH89"/>
      <c r="UBI89"/>
      <c r="UBJ89"/>
      <c r="UBK89"/>
      <c r="UBL89"/>
      <c r="UBM89"/>
      <c r="UBN89"/>
      <c r="UBO89"/>
      <c r="UBP89"/>
      <c r="UBQ89"/>
      <c r="UBR89"/>
      <c r="UBS89"/>
      <c r="UBT89"/>
      <c r="UBU89"/>
      <c r="UBV89"/>
      <c r="UBW89"/>
      <c r="UBX89"/>
      <c r="UBY89"/>
      <c r="UBZ89"/>
      <c r="UCA89"/>
      <c r="UCB89"/>
      <c r="UCC89"/>
      <c r="UCD89"/>
      <c r="UCE89"/>
      <c r="UCF89"/>
      <c r="UCG89"/>
      <c r="UCH89"/>
      <c r="UCI89"/>
      <c r="UCJ89"/>
      <c r="UCK89"/>
      <c r="UCL89"/>
      <c r="UCM89"/>
      <c r="UCN89"/>
      <c r="UCO89"/>
      <c r="UCP89"/>
      <c r="UCQ89"/>
      <c r="UCR89"/>
      <c r="UCS89"/>
      <c r="UCT89"/>
      <c r="UCU89"/>
      <c r="UCV89"/>
      <c r="UCW89"/>
      <c r="UCX89"/>
      <c r="UCY89"/>
      <c r="UCZ89"/>
      <c r="UDA89"/>
      <c r="UDB89"/>
      <c r="UDC89"/>
      <c r="UDD89"/>
      <c r="UDE89"/>
      <c r="UDF89"/>
      <c r="UDG89"/>
      <c r="UDH89"/>
      <c r="UDI89"/>
      <c r="UDJ89"/>
      <c r="UDK89"/>
      <c r="UDL89"/>
      <c r="UDM89"/>
      <c r="UDN89"/>
      <c r="UDO89"/>
      <c r="UDP89"/>
      <c r="UDQ89"/>
      <c r="UDR89"/>
      <c r="UDS89"/>
      <c r="UDT89"/>
      <c r="UDU89"/>
      <c r="UDV89"/>
      <c r="UDW89"/>
      <c r="UDX89"/>
      <c r="UDY89"/>
      <c r="UDZ89"/>
      <c r="UEA89"/>
      <c r="UEB89"/>
      <c r="UEC89"/>
      <c r="UED89"/>
      <c r="UEE89"/>
      <c r="UEF89"/>
      <c r="UEG89"/>
      <c r="UEH89"/>
      <c r="UEI89"/>
      <c r="UEJ89"/>
      <c r="UEK89"/>
      <c r="UEL89"/>
      <c r="UEM89"/>
      <c r="UEN89"/>
      <c r="UEO89"/>
      <c r="UEP89"/>
      <c r="UEQ89"/>
      <c r="UER89"/>
      <c r="UES89"/>
      <c r="UET89"/>
      <c r="UEU89"/>
      <c r="UEV89"/>
      <c r="UEW89"/>
      <c r="UEX89"/>
      <c r="UEY89"/>
      <c r="UEZ89"/>
      <c r="UFA89"/>
      <c r="UFB89"/>
      <c r="UFC89"/>
      <c r="UFD89"/>
      <c r="UFE89"/>
      <c r="UFF89"/>
      <c r="UFG89"/>
      <c r="UFH89"/>
      <c r="UFI89"/>
      <c r="UFJ89"/>
      <c r="UFK89"/>
      <c r="UFL89"/>
      <c r="UFM89"/>
      <c r="UFN89"/>
      <c r="UFO89"/>
      <c r="UFP89"/>
      <c r="UFQ89"/>
      <c r="UFR89"/>
      <c r="UFS89"/>
      <c r="UFT89"/>
      <c r="UFU89"/>
      <c r="UFV89"/>
      <c r="UFW89"/>
      <c r="UFX89"/>
      <c r="UFY89"/>
      <c r="UFZ89"/>
      <c r="UGA89"/>
      <c r="UGB89"/>
      <c r="UGC89"/>
      <c r="UGD89"/>
      <c r="UGE89"/>
      <c r="UGF89"/>
      <c r="UGG89"/>
      <c r="UGH89"/>
      <c r="UGI89"/>
      <c r="UGJ89"/>
      <c r="UGK89"/>
      <c r="UGL89"/>
      <c r="UGM89"/>
      <c r="UGN89"/>
      <c r="UGO89"/>
      <c r="UGP89"/>
      <c r="UGQ89"/>
      <c r="UGR89"/>
      <c r="UGS89"/>
      <c r="UGT89"/>
      <c r="UGU89"/>
      <c r="UGV89"/>
      <c r="UGW89"/>
      <c r="UGX89"/>
      <c r="UGY89"/>
      <c r="UGZ89"/>
      <c r="UHA89"/>
      <c r="UHB89"/>
      <c r="UHC89"/>
      <c r="UHD89"/>
      <c r="UHE89"/>
      <c r="UHF89"/>
      <c r="UHG89"/>
      <c r="UHH89"/>
      <c r="UHI89"/>
      <c r="UHJ89"/>
      <c r="UHK89"/>
      <c r="UHL89"/>
      <c r="UHM89"/>
      <c r="UHN89"/>
      <c r="UHO89"/>
      <c r="UHP89"/>
      <c r="UHQ89"/>
      <c r="UHR89"/>
      <c r="UHS89"/>
      <c r="UHT89"/>
      <c r="UHU89"/>
      <c r="UHV89"/>
      <c r="UHW89"/>
      <c r="UHX89"/>
      <c r="UHY89"/>
      <c r="UHZ89"/>
      <c r="UIA89"/>
      <c r="UIB89"/>
      <c r="UIC89"/>
      <c r="UID89"/>
      <c r="UIE89"/>
      <c r="UIF89"/>
      <c r="UIG89"/>
      <c r="UIH89"/>
      <c r="UII89"/>
      <c r="UIJ89"/>
      <c r="UIK89"/>
      <c r="UIL89"/>
      <c r="UIM89"/>
      <c r="UIN89"/>
      <c r="UIO89"/>
      <c r="UIP89"/>
      <c r="UIQ89"/>
      <c r="UIR89"/>
      <c r="UIS89"/>
      <c r="UIT89"/>
      <c r="UIU89"/>
      <c r="UIV89"/>
      <c r="UIW89"/>
      <c r="UIX89"/>
      <c r="UIY89"/>
      <c r="UIZ89"/>
      <c r="UJA89"/>
      <c r="UJB89"/>
      <c r="UJC89"/>
      <c r="UJD89"/>
      <c r="UJE89"/>
      <c r="UJF89"/>
      <c r="UJG89"/>
      <c r="UJH89"/>
      <c r="UJI89"/>
      <c r="UJJ89"/>
      <c r="UJK89"/>
      <c r="UJL89"/>
      <c r="UJM89"/>
      <c r="UJN89"/>
      <c r="UJO89"/>
      <c r="UJP89"/>
      <c r="UJQ89"/>
      <c r="UJR89"/>
      <c r="UJS89"/>
      <c r="UJT89"/>
      <c r="UJU89"/>
      <c r="UJV89"/>
      <c r="UJW89"/>
      <c r="UJX89"/>
      <c r="UJY89"/>
      <c r="UJZ89"/>
      <c r="UKA89"/>
      <c r="UKB89"/>
      <c r="UKC89"/>
      <c r="UKD89"/>
      <c r="UKE89"/>
      <c r="UKF89"/>
      <c r="UKG89"/>
      <c r="UKH89"/>
      <c r="UKI89"/>
      <c r="UKJ89"/>
      <c r="UKK89"/>
      <c r="UKL89"/>
      <c r="UKM89"/>
      <c r="UKN89"/>
      <c r="UKO89"/>
      <c r="UKP89"/>
      <c r="UKQ89"/>
      <c r="UKR89"/>
      <c r="UKS89"/>
      <c r="UKT89"/>
      <c r="UKU89"/>
      <c r="UKV89"/>
      <c r="UKW89"/>
      <c r="UKX89"/>
      <c r="UKY89"/>
      <c r="UKZ89"/>
      <c r="ULA89"/>
      <c r="ULB89"/>
      <c r="ULC89"/>
      <c r="ULD89"/>
      <c r="ULE89"/>
      <c r="ULF89"/>
      <c r="ULG89"/>
      <c r="ULH89"/>
      <c r="ULI89"/>
      <c r="ULJ89"/>
      <c r="ULK89"/>
      <c r="ULL89"/>
      <c r="ULM89"/>
      <c r="ULN89"/>
      <c r="ULO89"/>
      <c r="ULP89"/>
      <c r="ULQ89"/>
      <c r="ULR89"/>
      <c r="ULS89"/>
      <c r="ULT89"/>
      <c r="ULU89"/>
      <c r="ULV89"/>
      <c r="ULW89"/>
      <c r="ULX89"/>
      <c r="ULY89"/>
      <c r="ULZ89"/>
      <c r="UMA89"/>
      <c r="UMB89"/>
      <c r="UMC89"/>
      <c r="UMD89"/>
      <c r="UME89"/>
      <c r="UMF89"/>
      <c r="UMG89"/>
      <c r="UMH89"/>
      <c r="UMI89"/>
      <c r="UMJ89"/>
      <c r="UMK89"/>
      <c r="UML89"/>
      <c r="UMM89"/>
      <c r="UMN89"/>
      <c r="UMO89"/>
      <c r="UMP89"/>
      <c r="UMQ89"/>
      <c r="UMR89"/>
      <c r="UMS89"/>
      <c r="UMT89"/>
      <c r="UMU89"/>
      <c r="UMV89"/>
      <c r="UMW89"/>
      <c r="UMX89"/>
      <c r="UMY89"/>
      <c r="UMZ89"/>
      <c r="UNA89"/>
      <c r="UNB89"/>
      <c r="UNC89"/>
      <c r="UND89"/>
      <c r="UNE89"/>
      <c r="UNF89"/>
      <c r="UNG89"/>
      <c r="UNH89"/>
      <c r="UNI89"/>
      <c r="UNJ89"/>
      <c r="UNK89"/>
      <c r="UNL89"/>
      <c r="UNM89"/>
      <c r="UNN89"/>
      <c r="UNO89"/>
      <c r="UNP89"/>
      <c r="UNQ89"/>
      <c r="UNR89"/>
      <c r="UNS89"/>
      <c r="UNT89"/>
      <c r="UNU89"/>
      <c r="UNV89"/>
      <c r="UNW89"/>
      <c r="UNX89"/>
      <c r="UNY89"/>
      <c r="UNZ89"/>
      <c r="UOA89"/>
      <c r="UOB89"/>
      <c r="UOC89"/>
      <c r="UOD89"/>
      <c r="UOE89"/>
      <c r="UOF89"/>
      <c r="UOG89"/>
      <c r="UOH89"/>
      <c r="UOI89"/>
      <c r="UOJ89"/>
      <c r="UOK89"/>
      <c r="UOL89"/>
      <c r="UOM89"/>
      <c r="UON89"/>
      <c r="UOO89"/>
      <c r="UOP89"/>
      <c r="UOQ89"/>
      <c r="UOR89"/>
      <c r="UOS89"/>
      <c r="UOT89"/>
      <c r="UOU89"/>
      <c r="UOV89"/>
      <c r="UOW89"/>
      <c r="UOX89"/>
      <c r="UOY89"/>
      <c r="UOZ89"/>
      <c r="UPA89"/>
      <c r="UPB89"/>
      <c r="UPC89"/>
      <c r="UPD89"/>
      <c r="UPE89"/>
      <c r="UPF89"/>
      <c r="UPG89"/>
      <c r="UPH89"/>
      <c r="UPI89"/>
      <c r="UPJ89"/>
      <c r="UPK89"/>
      <c r="UPL89"/>
      <c r="UPM89"/>
      <c r="UPN89"/>
      <c r="UPO89"/>
      <c r="UPP89"/>
      <c r="UPQ89"/>
      <c r="UPR89"/>
      <c r="UPS89"/>
      <c r="UPT89"/>
      <c r="UPU89"/>
      <c r="UPV89"/>
      <c r="UPW89"/>
      <c r="UPX89"/>
      <c r="UPY89"/>
      <c r="UPZ89"/>
      <c r="UQA89"/>
      <c r="UQB89"/>
      <c r="UQC89"/>
      <c r="UQD89"/>
      <c r="UQE89"/>
      <c r="UQF89"/>
      <c r="UQG89"/>
      <c r="UQH89"/>
      <c r="UQI89"/>
      <c r="UQJ89"/>
      <c r="UQK89"/>
      <c r="UQL89"/>
      <c r="UQM89"/>
      <c r="UQN89"/>
      <c r="UQO89"/>
      <c r="UQP89"/>
      <c r="UQQ89"/>
      <c r="UQR89"/>
      <c r="UQS89"/>
      <c r="UQT89"/>
      <c r="UQU89"/>
      <c r="UQV89"/>
      <c r="UQW89"/>
      <c r="UQX89"/>
      <c r="UQY89"/>
      <c r="UQZ89"/>
      <c r="URA89"/>
      <c r="URB89"/>
      <c r="URC89"/>
      <c r="URD89"/>
      <c r="URE89"/>
      <c r="URF89"/>
      <c r="URG89"/>
      <c r="URH89"/>
      <c r="URI89"/>
      <c r="URJ89"/>
      <c r="URK89"/>
      <c r="URL89"/>
      <c r="URM89"/>
      <c r="URN89"/>
      <c r="URO89"/>
      <c r="URP89"/>
      <c r="URQ89"/>
      <c r="URR89"/>
      <c r="URS89"/>
      <c r="URT89"/>
      <c r="URU89"/>
      <c r="URV89"/>
      <c r="URW89"/>
      <c r="URX89"/>
      <c r="URY89"/>
      <c r="URZ89"/>
      <c r="USA89"/>
      <c r="USB89"/>
      <c r="USC89"/>
      <c r="USD89"/>
      <c r="USE89"/>
      <c r="USF89"/>
      <c r="USG89"/>
      <c r="USH89"/>
      <c r="USI89"/>
      <c r="USJ89"/>
      <c r="USK89"/>
      <c r="USL89"/>
      <c r="USM89"/>
      <c r="USN89"/>
      <c r="USO89"/>
      <c r="USP89"/>
      <c r="USQ89"/>
      <c r="USR89"/>
      <c r="USS89"/>
      <c r="UST89"/>
      <c r="USU89"/>
      <c r="USV89"/>
      <c r="USW89"/>
      <c r="USX89"/>
      <c r="USY89"/>
      <c r="USZ89"/>
      <c r="UTA89"/>
      <c r="UTB89"/>
      <c r="UTC89"/>
      <c r="UTD89"/>
      <c r="UTE89"/>
      <c r="UTF89"/>
      <c r="UTG89"/>
      <c r="UTH89"/>
      <c r="UTI89"/>
      <c r="UTJ89"/>
      <c r="UTK89"/>
      <c r="UTL89"/>
      <c r="UTM89"/>
      <c r="UTN89"/>
      <c r="UTO89"/>
      <c r="UTP89"/>
      <c r="UTQ89"/>
      <c r="UTR89"/>
      <c r="UTS89"/>
      <c r="UTT89"/>
      <c r="UTU89"/>
      <c r="UTV89"/>
      <c r="UTW89"/>
      <c r="UTX89"/>
      <c r="UTY89"/>
      <c r="UTZ89"/>
      <c r="UUA89"/>
      <c r="UUB89"/>
      <c r="UUC89"/>
      <c r="UUD89"/>
      <c r="UUE89"/>
      <c r="UUF89"/>
      <c r="UUG89"/>
      <c r="UUH89"/>
      <c r="UUI89"/>
      <c r="UUJ89"/>
      <c r="UUK89"/>
      <c r="UUL89"/>
      <c r="UUM89"/>
      <c r="UUN89"/>
      <c r="UUO89"/>
      <c r="UUP89"/>
      <c r="UUQ89"/>
      <c r="UUR89"/>
      <c r="UUS89"/>
      <c r="UUT89"/>
      <c r="UUU89"/>
      <c r="UUV89"/>
      <c r="UUW89"/>
      <c r="UUX89"/>
      <c r="UUY89"/>
      <c r="UUZ89"/>
      <c r="UVA89"/>
      <c r="UVB89"/>
      <c r="UVC89"/>
      <c r="UVD89"/>
      <c r="UVE89"/>
      <c r="UVF89"/>
      <c r="UVG89"/>
      <c r="UVH89"/>
      <c r="UVI89"/>
      <c r="UVJ89"/>
      <c r="UVK89"/>
      <c r="UVL89"/>
      <c r="UVM89"/>
      <c r="UVN89"/>
      <c r="UVO89"/>
      <c r="UVP89"/>
      <c r="UVQ89"/>
      <c r="UVR89"/>
      <c r="UVS89"/>
      <c r="UVT89"/>
      <c r="UVU89"/>
      <c r="UVV89"/>
      <c r="UVW89"/>
      <c r="UVX89"/>
      <c r="UVY89"/>
      <c r="UVZ89"/>
      <c r="UWA89"/>
      <c r="UWB89"/>
      <c r="UWC89"/>
      <c r="UWD89"/>
      <c r="UWE89"/>
      <c r="UWF89"/>
      <c r="UWG89"/>
      <c r="UWH89"/>
      <c r="UWI89"/>
      <c r="UWJ89"/>
      <c r="UWK89"/>
      <c r="UWL89"/>
      <c r="UWM89"/>
      <c r="UWN89"/>
      <c r="UWO89"/>
      <c r="UWP89"/>
      <c r="UWQ89"/>
      <c r="UWR89"/>
      <c r="UWS89"/>
      <c r="UWT89"/>
      <c r="UWU89"/>
      <c r="UWV89"/>
      <c r="UWW89"/>
      <c r="UWX89"/>
      <c r="UWY89"/>
      <c r="UWZ89"/>
      <c r="UXA89"/>
      <c r="UXB89"/>
      <c r="UXC89"/>
      <c r="UXD89"/>
      <c r="UXE89"/>
      <c r="UXF89"/>
      <c r="UXG89"/>
      <c r="UXH89"/>
      <c r="UXI89"/>
      <c r="UXJ89"/>
      <c r="UXK89"/>
      <c r="UXL89"/>
      <c r="UXM89"/>
      <c r="UXN89"/>
      <c r="UXO89"/>
      <c r="UXP89"/>
      <c r="UXQ89"/>
      <c r="UXR89"/>
      <c r="UXS89"/>
      <c r="UXT89"/>
      <c r="UXU89"/>
      <c r="UXV89"/>
      <c r="UXW89"/>
      <c r="UXX89"/>
      <c r="UXY89"/>
      <c r="UXZ89"/>
      <c r="UYA89"/>
      <c r="UYB89"/>
      <c r="UYC89"/>
      <c r="UYD89"/>
      <c r="UYE89"/>
      <c r="UYF89"/>
      <c r="UYG89"/>
      <c r="UYH89"/>
      <c r="UYI89"/>
      <c r="UYJ89"/>
      <c r="UYK89"/>
      <c r="UYL89"/>
      <c r="UYM89"/>
      <c r="UYN89"/>
      <c r="UYO89"/>
      <c r="UYP89"/>
      <c r="UYQ89"/>
      <c r="UYR89"/>
      <c r="UYS89"/>
      <c r="UYT89"/>
      <c r="UYU89"/>
      <c r="UYV89"/>
      <c r="UYW89"/>
      <c r="UYX89"/>
      <c r="UYY89"/>
      <c r="UYZ89"/>
      <c r="UZA89"/>
      <c r="UZB89"/>
      <c r="UZC89"/>
      <c r="UZD89"/>
      <c r="UZE89"/>
      <c r="UZF89"/>
      <c r="UZG89"/>
      <c r="UZH89"/>
      <c r="UZI89"/>
      <c r="UZJ89"/>
      <c r="UZK89"/>
      <c r="UZL89"/>
      <c r="UZM89"/>
      <c r="UZN89"/>
      <c r="UZO89"/>
      <c r="UZP89"/>
      <c r="UZQ89"/>
      <c r="UZR89"/>
      <c r="UZS89"/>
      <c r="UZT89"/>
      <c r="UZU89"/>
      <c r="UZV89"/>
      <c r="UZW89"/>
      <c r="UZX89"/>
      <c r="UZY89"/>
      <c r="UZZ89"/>
      <c r="VAA89"/>
      <c r="VAB89"/>
      <c r="VAC89"/>
      <c r="VAD89"/>
      <c r="VAE89"/>
      <c r="VAF89"/>
      <c r="VAG89"/>
      <c r="VAH89"/>
      <c r="VAI89"/>
      <c r="VAJ89"/>
      <c r="VAK89"/>
      <c r="VAL89"/>
      <c r="VAM89"/>
      <c r="VAN89"/>
      <c r="VAO89"/>
      <c r="VAP89"/>
      <c r="VAQ89"/>
      <c r="VAR89"/>
      <c r="VAS89"/>
      <c r="VAT89"/>
      <c r="VAU89"/>
      <c r="VAV89"/>
      <c r="VAW89"/>
      <c r="VAX89"/>
      <c r="VAY89"/>
      <c r="VAZ89"/>
      <c r="VBA89"/>
      <c r="VBB89"/>
      <c r="VBC89"/>
      <c r="VBD89"/>
      <c r="VBE89"/>
      <c r="VBF89"/>
      <c r="VBG89"/>
      <c r="VBH89"/>
      <c r="VBI89"/>
      <c r="VBJ89"/>
      <c r="VBK89"/>
      <c r="VBL89"/>
      <c r="VBM89"/>
      <c r="VBN89"/>
      <c r="VBO89"/>
      <c r="VBP89"/>
      <c r="VBQ89"/>
      <c r="VBR89"/>
      <c r="VBS89"/>
      <c r="VBT89"/>
      <c r="VBU89"/>
      <c r="VBV89"/>
      <c r="VBW89"/>
      <c r="VBX89"/>
      <c r="VBY89"/>
      <c r="VBZ89"/>
      <c r="VCA89"/>
      <c r="VCB89"/>
      <c r="VCC89"/>
      <c r="VCD89"/>
      <c r="VCE89"/>
      <c r="VCF89"/>
      <c r="VCG89"/>
      <c r="VCH89"/>
      <c r="VCI89"/>
      <c r="VCJ89"/>
      <c r="VCK89"/>
      <c r="VCL89"/>
      <c r="VCM89"/>
      <c r="VCN89"/>
      <c r="VCO89"/>
      <c r="VCP89"/>
      <c r="VCQ89"/>
      <c r="VCR89"/>
      <c r="VCS89"/>
      <c r="VCT89"/>
      <c r="VCU89"/>
      <c r="VCV89"/>
      <c r="VCW89"/>
      <c r="VCX89"/>
      <c r="VCY89"/>
      <c r="VCZ89"/>
      <c r="VDA89"/>
      <c r="VDB89"/>
      <c r="VDC89"/>
      <c r="VDD89"/>
      <c r="VDE89"/>
      <c r="VDF89"/>
      <c r="VDG89"/>
      <c r="VDH89"/>
      <c r="VDI89"/>
      <c r="VDJ89"/>
      <c r="VDK89"/>
      <c r="VDL89"/>
      <c r="VDM89"/>
      <c r="VDN89"/>
      <c r="VDO89"/>
      <c r="VDP89"/>
      <c r="VDQ89"/>
      <c r="VDR89"/>
      <c r="VDS89"/>
      <c r="VDT89"/>
      <c r="VDU89"/>
      <c r="VDV89"/>
      <c r="VDW89"/>
      <c r="VDX89"/>
      <c r="VDY89"/>
      <c r="VDZ89"/>
      <c r="VEA89"/>
      <c r="VEB89"/>
      <c r="VEC89"/>
      <c r="VED89"/>
      <c r="VEE89"/>
      <c r="VEF89"/>
      <c r="VEG89"/>
      <c r="VEH89"/>
      <c r="VEI89"/>
      <c r="VEJ89"/>
      <c r="VEK89"/>
      <c r="VEL89"/>
      <c r="VEM89"/>
      <c r="VEN89"/>
      <c r="VEO89"/>
      <c r="VEP89"/>
      <c r="VEQ89"/>
      <c r="VER89"/>
      <c r="VES89"/>
      <c r="VET89"/>
      <c r="VEU89"/>
      <c r="VEV89"/>
      <c r="VEW89"/>
      <c r="VEX89"/>
      <c r="VEY89"/>
      <c r="VEZ89"/>
      <c r="VFA89"/>
      <c r="VFB89"/>
      <c r="VFC89"/>
      <c r="VFD89"/>
      <c r="VFE89"/>
      <c r="VFF89"/>
      <c r="VFG89"/>
      <c r="VFH89"/>
      <c r="VFI89"/>
      <c r="VFJ89"/>
      <c r="VFK89"/>
      <c r="VFL89"/>
      <c r="VFM89"/>
      <c r="VFN89"/>
      <c r="VFO89"/>
      <c r="VFP89"/>
      <c r="VFQ89"/>
      <c r="VFR89"/>
      <c r="VFS89"/>
      <c r="VFT89"/>
      <c r="VFU89"/>
      <c r="VFV89"/>
      <c r="VFW89"/>
      <c r="VFX89"/>
      <c r="VFY89"/>
      <c r="VFZ89"/>
      <c r="VGA89"/>
      <c r="VGB89"/>
      <c r="VGC89"/>
      <c r="VGD89"/>
      <c r="VGE89"/>
      <c r="VGF89"/>
      <c r="VGG89"/>
      <c r="VGH89"/>
      <c r="VGI89"/>
      <c r="VGJ89"/>
      <c r="VGK89"/>
      <c r="VGL89"/>
      <c r="VGM89"/>
      <c r="VGN89"/>
      <c r="VGO89"/>
      <c r="VGP89"/>
      <c r="VGQ89"/>
      <c r="VGR89"/>
      <c r="VGS89"/>
      <c r="VGT89"/>
      <c r="VGU89"/>
      <c r="VGV89"/>
      <c r="VGW89"/>
      <c r="VGX89"/>
      <c r="VGY89"/>
      <c r="VGZ89"/>
      <c r="VHA89"/>
      <c r="VHB89"/>
      <c r="VHC89"/>
      <c r="VHD89"/>
      <c r="VHE89"/>
      <c r="VHF89"/>
      <c r="VHG89"/>
      <c r="VHH89"/>
      <c r="VHI89"/>
      <c r="VHJ89"/>
      <c r="VHK89"/>
      <c r="VHL89"/>
      <c r="VHM89"/>
      <c r="VHN89"/>
      <c r="VHO89"/>
      <c r="VHP89"/>
      <c r="VHQ89"/>
      <c r="VHR89"/>
      <c r="VHS89"/>
      <c r="VHT89"/>
      <c r="VHU89"/>
      <c r="VHV89"/>
      <c r="VHW89"/>
      <c r="VHX89"/>
      <c r="VHY89"/>
      <c r="VHZ89"/>
      <c r="VIA89"/>
      <c r="VIB89"/>
      <c r="VIC89"/>
      <c r="VID89"/>
      <c r="VIE89"/>
      <c r="VIF89"/>
      <c r="VIG89"/>
      <c r="VIH89"/>
      <c r="VII89"/>
      <c r="VIJ89"/>
      <c r="VIK89"/>
      <c r="VIL89"/>
      <c r="VIM89"/>
      <c r="VIN89"/>
      <c r="VIO89"/>
      <c r="VIP89"/>
      <c r="VIQ89"/>
      <c r="VIR89"/>
      <c r="VIS89"/>
      <c r="VIT89"/>
      <c r="VIU89"/>
      <c r="VIV89"/>
      <c r="VIW89"/>
      <c r="VIX89"/>
      <c r="VIY89"/>
      <c r="VIZ89"/>
      <c r="VJA89"/>
      <c r="VJB89"/>
      <c r="VJC89"/>
      <c r="VJD89"/>
      <c r="VJE89"/>
      <c r="VJF89"/>
      <c r="VJG89"/>
      <c r="VJH89"/>
      <c r="VJI89"/>
      <c r="VJJ89"/>
      <c r="VJK89"/>
      <c r="VJL89"/>
      <c r="VJM89"/>
      <c r="VJN89"/>
      <c r="VJO89"/>
      <c r="VJP89"/>
      <c r="VJQ89"/>
      <c r="VJR89"/>
      <c r="VJS89"/>
      <c r="VJT89"/>
      <c r="VJU89"/>
      <c r="VJV89"/>
      <c r="VJW89"/>
      <c r="VJX89"/>
      <c r="VJY89"/>
      <c r="VJZ89"/>
      <c r="VKA89"/>
      <c r="VKB89"/>
      <c r="VKC89"/>
      <c r="VKD89"/>
      <c r="VKE89"/>
      <c r="VKF89"/>
      <c r="VKG89"/>
      <c r="VKH89"/>
      <c r="VKI89"/>
      <c r="VKJ89"/>
      <c r="VKK89"/>
      <c r="VKL89"/>
      <c r="VKM89"/>
      <c r="VKN89"/>
      <c r="VKO89"/>
      <c r="VKP89"/>
      <c r="VKQ89"/>
      <c r="VKR89"/>
      <c r="VKS89"/>
      <c r="VKT89"/>
      <c r="VKU89"/>
      <c r="VKV89"/>
      <c r="VKW89"/>
      <c r="VKX89"/>
      <c r="VKY89"/>
      <c r="VKZ89"/>
      <c r="VLA89"/>
      <c r="VLB89"/>
      <c r="VLC89"/>
      <c r="VLD89"/>
      <c r="VLE89"/>
      <c r="VLF89"/>
      <c r="VLG89"/>
      <c r="VLH89"/>
      <c r="VLI89"/>
      <c r="VLJ89"/>
      <c r="VLK89"/>
      <c r="VLL89"/>
      <c r="VLM89"/>
      <c r="VLN89"/>
      <c r="VLO89"/>
      <c r="VLP89"/>
      <c r="VLQ89"/>
      <c r="VLR89"/>
      <c r="VLS89"/>
      <c r="VLT89"/>
      <c r="VLU89"/>
      <c r="VLV89"/>
      <c r="VLW89"/>
      <c r="VLX89"/>
      <c r="VLY89"/>
      <c r="VLZ89"/>
      <c r="VMA89"/>
      <c r="VMB89"/>
      <c r="VMC89"/>
      <c r="VMD89"/>
      <c r="VME89"/>
      <c r="VMF89"/>
      <c r="VMG89"/>
      <c r="VMH89"/>
      <c r="VMI89"/>
      <c r="VMJ89"/>
      <c r="VMK89"/>
      <c r="VML89"/>
      <c r="VMM89"/>
      <c r="VMN89"/>
      <c r="VMO89"/>
      <c r="VMP89"/>
      <c r="VMQ89"/>
      <c r="VMR89"/>
      <c r="VMS89"/>
      <c r="VMT89"/>
      <c r="VMU89"/>
      <c r="VMV89"/>
      <c r="VMW89"/>
      <c r="VMX89"/>
      <c r="VMY89"/>
      <c r="VMZ89"/>
      <c r="VNA89"/>
      <c r="VNB89"/>
      <c r="VNC89"/>
      <c r="VND89"/>
      <c r="VNE89"/>
      <c r="VNF89"/>
      <c r="VNG89"/>
      <c r="VNH89"/>
      <c r="VNI89"/>
      <c r="VNJ89"/>
      <c r="VNK89"/>
      <c r="VNL89"/>
      <c r="VNM89"/>
      <c r="VNN89"/>
      <c r="VNO89"/>
      <c r="VNP89"/>
      <c r="VNQ89"/>
      <c r="VNR89"/>
      <c r="VNS89"/>
      <c r="VNT89"/>
      <c r="VNU89"/>
      <c r="VNV89"/>
      <c r="VNW89"/>
      <c r="VNX89"/>
      <c r="VNY89"/>
      <c r="VNZ89"/>
      <c r="VOA89"/>
      <c r="VOB89"/>
      <c r="VOC89"/>
      <c r="VOD89"/>
      <c r="VOE89"/>
      <c r="VOF89"/>
      <c r="VOG89"/>
      <c r="VOH89"/>
      <c r="VOI89"/>
      <c r="VOJ89"/>
      <c r="VOK89"/>
      <c r="VOL89"/>
      <c r="VOM89"/>
      <c r="VON89"/>
      <c r="VOO89"/>
      <c r="VOP89"/>
      <c r="VOQ89"/>
      <c r="VOR89"/>
      <c r="VOS89"/>
      <c r="VOT89"/>
      <c r="VOU89"/>
      <c r="VOV89"/>
      <c r="VOW89"/>
      <c r="VOX89"/>
      <c r="VOY89"/>
      <c r="VOZ89"/>
      <c r="VPA89"/>
      <c r="VPB89"/>
      <c r="VPC89"/>
      <c r="VPD89"/>
      <c r="VPE89"/>
      <c r="VPF89"/>
      <c r="VPG89"/>
      <c r="VPH89"/>
      <c r="VPI89"/>
      <c r="VPJ89"/>
      <c r="VPK89"/>
      <c r="VPL89"/>
      <c r="VPM89"/>
      <c r="VPN89"/>
      <c r="VPO89"/>
      <c r="VPP89"/>
      <c r="VPQ89"/>
      <c r="VPR89"/>
      <c r="VPS89"/>
      <c r="VPT89"/>
      <c r="VPU89"/>
      <c r="VPV89"/>
      <c r="VPW89"/>
      <c r="VPX89"/>
      <c r="VPY89"/>
      <c r="VPZ89"/>
      <c r="VQA89"/>
      <c r="VQB89"/>
      <c r="VQC89"/>
      <c r="VQD89"/>
      <c r="VQE89"/>
      <c r="VQF89"/>
      <c r="VQG89"/>
      <c r="VQH89"/>
      <c r="VQI89"/>
      <c r="VQJ89"/>
      <c r="VQK89"/>
      <c r="VQL89"/>
      <c r="VQM89"/>
      <c r="VQN89"/>
      <c r="VQO89"/>
      <c r="VQP89"/>
      <c r="VQQ89"/>
      <c r="VQR89"/>
      <c r="VQS89"/>
      <c r="VQT89"/>
      <c r="VQU89"/>
      <c r="VQV89"/>
      <c r="VQW89"/>
      <c r="VQX89"/>
      <c r="VQY89"/>
      <c r="VQZ89"/>
      <c r="VRA89"/>
      <c r="VRB89"/>
      <c r="VRC89"/>
      <c r="VRD89"/>
      <c r="VRE89"/>
      <c r="VRF89"/>
      <c r="VRG89"/>
      <c r="VRH89"/>
      <c r="VRI89"/>
      <c r="VRJ89"/>
      <c r="VRK89"/>
      <c r="VRL89"/>
      <c r="VRM89"/>
      <c r="VRN89"/>
      <c r="VRO89"/>
      <c r="VRP89"/>
      <c r="VRQ89"/>
      <c r="VRR89"/>
      <c r="VRS89"/>
      <c r="VRT89"/>
      <c r="VRU89"/>
      <c r="VRV89"/>
      <c r="VRW89"/>
      <c r="VRX89"/>
      <c r="VRY89"/>
      <c r="VRZ89"/>
      <c r="VSA89"/>
      <c r="VSB89"/>
      <c r="VSC89"/>
      <c r="VSD89"/>
      <c r="VSE89"/>
      <c r="VSF89"/>
      <c r="VSG89"/>
      <c r="VSH89"/>
      <c r="VSI89"/>
      <c r="VSJ89"/>
      <c r="VSK89"/>
      <c r="VSL89"/>
      <c r="VSM89"/>
      <c r="VSN89"/>
      <c r="VSO89"/>
      <c r="VSP89"/>
      <c r="VSQ89"/>
      <c r="VSR89"/>
      <c r="VSS89"/>
      <c r="VST89"/>
      <c r="VSU89"/>
      <c r="VSV89"/>
      <c r="VSW89"/>
      <c r="VSX89"/>
      <c r="VSY89"/>
      <c r="VSZ89"/>
      <c r="VTA89"/>
      <c r="VTB89"/>
      <c r="VTC89"/>
      <c r="VTD89"/>
      <c r="VTE89"/>
      <c r="VTF89"/>
      <c r="VTG89"/>
      <c r="VTH89"/>
      <c r="VTI89"/>
      <c r="VTJ89"/>
      <c r="VTK89"/>
      <c r="VTL89"/>
      <c r="VTM89"/>
      <c r="VTN89"/>
      <c r="VTO89"/>
      <c r="VTP89"/>
      <c r="VTQ89"/>
      <c r="VTR89"/>
      <c r="VTS89"/>
      <c r="VTT89"/>
      <c r="VTU89"/>
      <c r="VTV89"/>
      <c r="VTW89"/>
      <c r="VTX89"/>
      <c r="VTY89"/>
      <c r="VTZ89"/>
      <c r="VUA89"/>
      <c r="VUB89"/>
      <c r="VUC89"/>
      <c r="VUD89"/>
      <c r="VUE89"/>
      <c r="VUF89"/>
      <c r="VUG89"/>
      <c r="VUH89"/>
      <c r="VUI89"/>
      <c r="VUJ89"/>
      <c r="VUK89"/>
      <c r="VUL89"/>
      <c r="VUM89"/>
      <c r="VUN89"/>
      <c r="VUO89"/>
      <c r="VUP89"/>
      <c r="VUQ89"/>
      <c r="VUR89"/>
      <c r="VUS89"/>
      <c r="VUT89"/>
      <c r="VUU89"/>
      <c r="VUV89"/>
      <c r="VUW89"/>
      <c r="VUX89"/>
      <c r="VUY89"/>
      <c r="VUZ89"/>
      <c r="VVA89"/>
      <c r="VVB89"/>
      <c r="VVC89"/>
      <c r="VVD89"/>
      <c r="VVE89"/>
      <c r="VVF89"/>
      <c r="VVG89"/>
      <c r="VVH89"/>
      <c r="VVI89"/>
      <c r="VVJ89"/>
      <c r="VVK89"/>
      <c r="VVL89"/>
      <c r="VVM89"/>
      <c r="VVN89"/>
      <c r="VVO89"/>
      <c r="VVP89"/>
      <c r="VVQ89"/>
      <c r="VVR89"/>
      <c r="VVS89"/>
      <c r="VVT89"/>
      <c r="VVU89"/>
      <c r="VVV89"/>
      <c r="VVW89"/>
      <c r="VVX89"/>
      <c r="VVY89"/>
      <c r="VVZ89"/>
      <c r="VWA89"/>
      <c r="VWB89"/>
      <c r="VWC89"/>
      <c r="VWD89"/>
      <c r="VWE89"/>
      <c r="VWF89"/>
      <c r="VWG89"/>
      <c r="VWH89"/>
      <c r="VWI89"/>
      <c r="VWJ89"/>
      <c r="VWK89"/>
      <c r="VWL89"/>
      <c r="VWM89"/>
      <c r="VWN89"/>
      <c r="VWO89"/>
      <c r="VWP89"/>
      <c r="VWQ89"/>
      <c r="VWR89"/>
      <c r="VWS89"/>
      <c r="VWT89"/>
      <c r="VWU89"/>
      <c r="VWV89"/>
      <c r="VWW89"/>
      <c r="VWX89"/>
      <c r="VWY89"/>
      <c r="VWZ89"/>
      <c r="VXA89"/>
      <c r="VXB89"/>
      <c r="VXC89"/>
      <c r="VXD89"/>
      <c r="VXE89"/>
      <c r="VXF89"/>
      <c r="VXG89"/>
      <c r="VXH89"/>
      <c r="VXI89"/>
      <c r="VXJ89"/>
      <c r="VXK89"/>
      <c r="VXL89"/>
      <c r="VXM89"/>
      <c r="VXN89"/>
      <c r="VXO89"/>
      <c r="VXP89"/>
      <c r="VXQ89"/>
      <c r="VXR89"/>
      <c r="VXS89"/>
      <c r="VXT89"/>
      <c r="VXU89"/>
      <c r="VXV89"/>
      <c r="VXW89"/>
      <c r="VXX89"/>
      <c r="VXY89"/>
      <c r="VXZ89"/>
      <c r="VYA89"/>
      <c r="VYB89"/>
      <c r="VYC89"/>
      <c r="VYD89"/>
      <c r="VYE89"/>
      <c r="VYF89"/>
      <c r="VYG89"/>
      <c r="VYH89"/>
      <c r="VYI89"/>
      <c r="VYJ89"/>
      <c r="VYK89"/>
      <c r="VYL89"/>
      <c r="VYM89"/>
      <c r="VYN89"/>
      <c r="VYO89"/>
      <c r="VYP89"/>
      <c r="VYQ89"/>
      <c r="VYR89"/>
      <c r="VYS89"/>
      <c r="VYT89"/>
      <c r="VYU89"/>
      <c r="VYV89"/>
      <c r="VYW89"/>
      <c r="VYX89"/>
      <c r="VYY89"/>
      <c r="VYZ89"/>
      <c r="VZA89"/>
      <c r="VZB89"/>
      <c r="VZC89"/>
      <c r="VZD89"/>
      <c r="VZE89"/>
      <c r="VZF89"/>
      <c r="VZG89"/>
      <c r="VZH89"/>
      <c r="VZI89"/>
      <c r="VZJ89"/>
      <c r="VZK89"/>
      <c r="VZL89"/>
      <c r="VZM89"/>
      <c r="VZN89"/>
      <c r="VZO89"/>
      <c r="VZP89"/>
      <c r="VZQ89"/>
      <c r="VZR89"/>
      <c r="VZS89"/>
      <c r="VZT89"/>
      <c r="VZU89"/>
      <c r="VZV89"/>
      <c r="VZW89"/>
      <c r="VZX89"/>
      <c r="VZY89"/>
      <c r="VZZ89"/>
      <c r="WAA89"/>
      <c r="WAB89"/>
      <c r="WAC89"/>
      <c r="WAD89"/>
      <c r="WAE89"/>
      <c r="WAF89"/>
      <c r="WAG89"/>
      <c r="WAH89"/>
      <c r="WAI89"/>
      <c r="WAJ89"/>
      <c r="WAK89"/>
      <c r="WAL89"/>
      <c r="WAM89"/>
      <c r="WAN89"/>
      <c r="WAO89"/>
      <c r="WAP89"/>
      <c r="WAQ89"/>
      <c r="WAR89"/>
      <c r="WAS89"/>
      <c r="WAT89"/>
      <c r="WAU89"/>
      <c r="WAV89"/>
      <c r="WAW89"/>
      <c r="WAX89"/>
      <c r="WAY89"/>
      <c r="WAZ89"/>
      <c r="WBA89"/>
      <c r="WBB89"/>
      <c r="WBC89"/>
      <c r="WBD89"/>
      <c r="WBE89"/>
      <c r="WBF89"/>
      <c r="WBG89"/>
      <c r="WBH89"/>
      <c r="WBI89"/>
      <c r="WBJ89"/>
      <c r="WBK89"/>
      <c r="WBL89"/>
      <c r="WBM89"/>
      <c r="WBN89"/>
      <c r="WBO89"/>
      <c r="WBP89"/>
      <c r="WBQ89"/>
      <c r="WBR89"/>
      <c r="WBS89"/>
      <c r="WBT89"/>
      <c r="WBU89"/>
      <c r="WBV89"/>
      <c r="WBW89"/>
      <c r="WBX89"/>
      <c r="WBY89"/>
      <c r="WBZ89"/>
      <c r="WCA89"/>
      <c r="WCB89"/>
      <c r="WCC89"/>
      <c r="WCD89"/>
      <c r="WCE89"/>
      <c r="WCF89"/>
      <c r="WCG89"/>
      <c r="WCH89"/>
      <c r="WCI89"/>
      <c r="WCJ89"/>
      <c r="WCK89"/>
      <c r="WCL89"/>
      <c r="WCM89"/>
      <c r="WCN89"/>
      <c r="WCO89"/>
      <c r="WCP89"/>
      <c r="WCQ89"/>
      <c r="WCR89"/>
      <c r="WCS89"/>
      <c r="WCT89"/>
      <c r="WCU89"/>
      <c r="WCV89"/>
      <c r="WCW89"/>
      <c r="WCX89"/>
      <c r="WCY89"/>
      <c r="WCZ89"/>
      <c r="WDA89"/>
      <c r="WDB89"/>
      <c r="WDC89"/>
      <c r="WDD89"/>
      <c r="WDE89"/>
      <c r="WDF89"/>
      <c r="WDG89"/>
      <c r="WDH89"/>
      <c r="WDI89"/>
      <c r="WDJ89"/>
      <c r="WDK89"/>
      <c r="WDL89"/>
      <c r="WDM89"/>
      <c r="WDN89"/>
      <c r="WDO89"/>
      <c r="WDP89"/>
      <c r="WDQ89"/>
      <c r="WDR89"/>
      <c r="WDS89"/>
      <c r="WDT89"/>
      <c r="WDU89"/>
      <c r="WDV89"/>
      <c r="WDW89"/>
      <c r="WDX89"/>
      <c r="WDY89"/>
      <c r="WDZ89"/>
      <c r="WEA89"/>
      <c r="WEB89"/>
      <c r="WEC89"/>
      <c r="WED89"/>
      <c r="WEE89"/>
      <c r="WEF89"/>
      <c r="WEG89"/>
      <c r="WEH89"/>
      <c r="WEI89"/>
      <c r="WEJ89"/>
      <c r="WEK89"/>
      <c r="WEL89"/>
      <c r="WEM89"/>
      <c r="WEN89"/>
      <c r="WEO89"/>
      <c r="WEP89"/>
      <c r="WEQ89"/>
      <c r="WER89"/>
      <c r="WES89"/>
      <c r="WET89"/>
      <c r="WEU89"/>
      <c r="WEV89"/>
      <c r="WEW89"/>
      <c r="WEX89"/>
      <c r="WEY89"/>
      <c r="WEZ89"/>
      <c r="WFA89"/>
      <c r="WFB89"/>
      <c r="WFC89"/>
      <c r="WFD89"/>
      <c r="WFE89"/>
      <c r="WFF89"/>
      <c r="WFG89"/>
      <c r="WFH89"/>
      <c r="WFI89"/>
      <c r="WFJ89"/>
      <c r="WFK89"/>
      <c r="WFL89"/>
      <c r="WFM89"/>
      <c r="WFN89"/>
      <c r="WFO89"/>
      <c r="WFP89"/>
      <c r="WFQ89"/>
      <c r="WFR89"/>
      <c r="WFS89"/>
      <c r="WFT89"/>
      <c r="WFU89"/>
      <c r="WFV89"/>
      <c r="WFW89"/>
      <c r="WFX89"/>
      <c r="WFY89"/>
      <c r="WFZ89"/>
      <c r="WGA89"/>
      <c r="WGB89"/>
      <c r="WGC89"/>
      <c r="WGD89"/>
      <c r="WGE89"/>
      <c r="WGF89"/>
      <c r="WGG89"/>
      <c r="WGH89"/>
      <c r="WGI89"/>
      <c r="WGJ89"/>
      <c r="WGK89"/>
      <c r="WGL89"/>
      <c r="WGM89"/>
      <c r="WGN89"/>
      <c r="WGO89"/>
      <c r="WGP89"/>
      <c r="WGQ89"/>
      <c r="WGR89"/>
      <c r="WGS89"/>
      <c r="WGT89"/>
      <c r="WGU89"/>
      <c r="WGV89"/>
      <c r="WGW89"/>
      <c r="WGX89"/>
      <c r="WGY89"/>
      <c r="WGZ89"/>
      <c r="WHA89"/>
      <c r="WHB89"/>
      <c r="WHC89"/>
      <c r="WHD89"/>
      <c r="WHE89"/>
      <c r="WHF89"/>
      <c r="WHG89"/>
      <c r="WHH89"/>
      <c r="WHI89"/>
      <c r="WHJ89"/>
      <c r="WHK89"/>
      <c r="WHL89"/>
      <c r="WHM89"/>
      <c r="WHN89"/>
      <c r="WHO89"/>
      <c r="WHP89"/>
      <c r="WHQ89"/>
      <c r="WHR89"/>
      <c r="WHS89"/>
      <c r="WHT89"/>
      <c r="WHU89"/>
      <c r="WHV89"/>
      <c r="WHW89"/>
      <c r="WHX89"/>
      <c r="WHY89"/>
      <c r="WHZ89"/>
      <c r="WIA89"/>
      <c r="WIB89"/>
      <c r="WIC89"/>
      <c r="WID89"/>
      <c r="WIE89"/>
      <c r="WIF89"/>
      <c r="WIG89"/>
      <c r="WIH89"/>
      <c r="WII89"/>
      <c r="WIJ89"/>
      <c r="WIK89"/>
      <c r="WIL89"/>
      <c r="WIM89"/>
      <c r="WIN89"/>
      <c r="WIO89"/>
      <c r="WIP89"/>
      <c r="WIQ89"/>
      <c r="WIR89"/>
      <c r="WIS89"/>
      <c r="WIT89"/>
      <c r="WIU89"/>
      <c r="WIV89"/>
      <c r="WIW89"/>
      <c r="WIX89"/>
      <c r="WIY89"/>
      <c r="WIZ89"/>
      <c r="WJA89"/>
      <c r="WJB89"/>
      <c r="WJC89"/>
      <c r="WJD89"/>
      <c r="WJE89"/>
      <c r="WJF89"/>
      <c r="WJG89"/>
      <c r="WJH89"/>
      <c r="WJI89"/>
      <c r="WJJ89"/>
      <c r="WJK89"/>
      <c r="WJL89"/>
      <c r="WJM89"/>
      <c r="WJN89"/>
      <c r="WJO89"/>
      <c r="WJP89"/>
      <c r="WJQ89"/>
      <c r="WJR89"/>
      <c r="WJS89"/>
      <c r="WJT89"/>
      <c r="WJU89"/>
      <c r="WJV89"/>
      <c r="WJW89"/>
      <c r="WJX89"/>
      <c r="WJY89"/>
      <c r="WJZ89"/>
      <c r="WKA89"/>
      <c r="WKB89"/>
      <c r="WKC89"/>
      <c r="WKD89"/>
      <c r="WKE89"/>
      <c r="WKF89"/>
      <c r="WKG89"/>
      <c r="WKH89"/>
      <c r="WKI89"/>
      <c r="WKJ89"/>
      <c r="WKK89"/>
      <c r="WKL89"/>
      <c r="WKM89"/>
      <c r="WKN89"/>
      <c r="WKO89"/>
      <c r="WKP89"/>
      <c r="WKQ89"/>
      <c r="WKR89"/>
      <c r="WKS89"/>
      <c r="WKT89"/>
      <c r="WKU89"/>
      <c r="WKV89"/>
      <c r="WKW89"/>
      <c r="WKX89"/>
      <c r="WKY89"/>
      <c r="WKZ89"/>
      <c r="WLA89"/>
      <c r="WLB89"/>
      <c r="WLC89"/>
      <c r="WLD89"/>
      <c r="WLE89"/>
      <c r="WLF89"/>
      <c r="WLG89"/>
      <c r="WLH89"/>
      <c r="WLI89"/>
      <c r="WLJ89"/>
      <c r="WLK89"/>
      <c r="WLL89"/>
      <c r="WLM89"/>
      <c r="WLN89"/>
      <c r="WLO89"/>
      <c r="WLP89"/>
      <c r="WLQ89"/>
      <c r="WLR89"/>
      <c r="WLS89"/>
      <c r="WLT89"/>
      <c r="WLU89"/>
      <c r="WLV89"/>
      <c r="WLW89"/>
      <c r="WLX89"/>
      <c r="WLY89"/>
      <c r="WLZ89"/>
      <c r="WMA89"/>
      <c r="WMB89"/>
      <c r="WMC89"/>
      <c r="WMD89"/>
      <c r="WME89"/>
      <c r="WMF89"/>
      <c r="WMG89"/>
      <c r="WMH89"/>
      <c r="WMI89"/>
      <c r="WMJ89"/>
      <c r="WMK89"/>
      <c r="WML89"/>
      <c r="WMM89"/>
      <c r="WMN89"/>
      <c r="WMO89"/>
      <c r="WMP89"/>
      <c r="WMQ89"/>
      <c r="WMR89"/>
      <c r="WMS89"/>
      <c r="WMT89"/>
      <c r="WMU89"/>
      <c r="WMV89"/>
      <c r="WMW89"/>
      <c r="WMX89"/>
      <c r="WMY89"/>
      <c r="WMZ89"/>
      <c r="WNA89"/>
      <c r="WNB89"/>
      <c r="WNC89"/>
      <c r="WND89"/>
      <c r="WNE89"/>
      <c r="WNF89"/>
      <c r="WNG89"/>
      <c r="WNH89"/>
      <c r="WNI89"/>
      <c r="WNJ89"/>
      <c r="WNK89"/>
      <c r="WNL89"/>
      <c r="WNM89"/>
      <c r="WNN89"/>
      <c r="WNO89"/>
      <c r="WNP89"/>
      <c r="WNQ89"/>
      <c r="WNR89"/>
      <c r="WNS89"/>
      <c r="WNT89"/>
      <c r="WNU89"/>
      <c r="WNV89"/>
      <c r="WNW89"/>
      <c r="WNX89"/>
      <c r="WNY89"/>
      <c r="WNZ89"/>
      <c r="WOA89"/>
      <c r="WOB89"/>
      <c r="WOC89"/>
      <c r="WOD89"/>
      <c r="WOE89"/>
      <c r="WOF89"/>
      <c r="WOG89"/>
      <c r="WOH89"/>
      <c r="WOI89"/>
      <c r="WOJ89"/>
      <c r="WOK89"/>
      <c r="WOL89"/>
      <c r="WOM89"/>
      <c r="WON89"/>
      <c r="WOO89"/>
      <c r="WOP89"/>
      <c r="WOQ89"/>
      <c r="WOR89"/>
      <c r="WOS89"/>
      <c r="WOT89"/>
      <c r="WOU89"/>
      <c r="WOV89"/>
      <c r="WOW89"/>
      <c r="WOX89"/>
      <c r="WOY89"/>
      <c r="WOZ89"/>
      <c r="WPA89"/>
      <c r="WPB89"/>
      <c r="WPC89"/>
      <c r="WPD89"/>
      <c r="WPE89"/>
      <c r="WPF89"/>
      <c r="WPG89"/>
      <c r="WPH89"/>
      <c r="WPI89"/>
      <c r="WPJ89"/>
      <c r="WPK89"/>
      <c r="WPL89"/>
      <c r="WPM89"/>
      <c r="WPN89"/>
      <c r="WPO89"/>
      <c r="WPP89"/>
      <c r="WPQ89"/>
      <c r="WPR89"/>
      <c r="WPS89"/>
      <c r="WPT89"/>
      <c r="WPU89"/>
      <c r="WPV89"/>
      <c r="WPW89"/>
      <c r="WPX89"/>
      <c r="WPY89"/>
      <c r="WPZ89"/>
      <c r="WQA89"/>
      <c r="WQB89"/>
      <c r="WQC89"/>
      <c r="WQD89"/>
      <c r="WQE89"/>
      <c r="WQF89"/>
      <c r="WQG89"/>
      <c r="WQH89"/>
      <c r="WQI89"/>
      <c r="WQJ89"/>
      <c r="WQK89"/>
      <c r="WQL89"/>
      <c r="WQM89"/>
      <c r="WQN89"/>
      <c r="WQO89"/>
      <c r="WQP89"/>
      <c r="WQQ89"/>
      <c r="WQR89"/>
      <c r="WQS89"/>
      <c r="WQT89"/>
      <c r="WQU89"/>
      <c r="WQV89"/>
      <c r="WQW89"/>
      <c r="WQX89"/>
      <c r="WQY89"/>
      <c r="WQZ89"/>
      <c r="WRA89"/>
      <c r="WRB89"/>
      <c r="WRC89"/>
      <c r="WRD89"/>
      <c r="WRE89"/>
      <c r="WRF89"/>
      <c r="WRG89"/>
      <c r="WRH89"/>
      <c r="WRI89"/>
      <c r="WRJ89"/>
      <c r="WRK89"/>
      <c r="WRL89"/>
      <c r="WRM89"/>
      <c r="WRN89"/>
      <c r="WRO89"/>
      <c r="WRP89"/>
      <c r="WRQ89"/>
      <c r="WRR89"/>
      <c r="WRS89"/>
      <c r="WRT89"/>
      <c r="WRU89"/>
      <c r="WRV89"/>
      <c r="WRW89"/>
      <c r="WRX89"/>
      <c r="WRY89"/>
      <c r="WRZ89"/>
      <c r="WSA89"/>
      <c r="WSB89"/>
      <c r="WSC89"/>
      <c r="WSD89"/>
      <c r="WSE89"/>
      <c r="WSF89"/>
      <c r="WSG89"/>
      <c r="WSH89"/>
      <c r="WSI89"/>
      <c r="WSJ89"/>
      <c r="WSK89"/>
      <c r="WSL89"/>
      <c r="WSM89"/>
      <c r="WSN89"/>
      <c r="WSO89"/>
      <c r="WSP89"/>
      <c r="WSQ89"/>
      <c r="WSR89"/>
      <c r="WSS89"/>
      <c r="WST89"/>
      <c r="WSU89"/>
      <c r="WSV89"/>
      <c r="WSW89"/>
      <c r="WSX89"/>
      <c r="WSY89"/>
      <c r="WSZ89"/>
      <c r="WTA89"/>
      <c r="WTB89"/>
      <c r="WTC89"/>
      <c r="WTD89"/>
      <c r="WTE89"/>
      <c r="WTF89"/>
      <c r="WTG89"/>
      <c r="WTH89"/>
      <c r="WTI89"/>
      <c r="WTJ89"/>
      <c r="WTK89"/>
      <c r="WTL89"/>
      <c r="WTM89"/>
      <c r="WTN89"/>
      <c r="WTO89"/>
      <c r="WTP89"/>
      <c r="WTQ89"/>
      <c r="WTR89"/>
      <c r="WTS89"/>
      <c r="WTT89"/>
      <c r="WTU89"/>
      <c r="WTV89"/>
      <c r="WTW89"/>
      <c r="WTX89"/>
      <c r="WTY89"/>
      <c r="WTZ89"/>
      <c r="WUA89"/>
      <c r="WUB89"/>
      <c r="WUC89"/>
      <c r="WUD89"/>
      <c r="WUE89"/>
      <c r="WUF89"/>
      <c r="WUG89"/>
      <c r="WUH89"/>
      <c r="WUI89"/>
      <c r="WUJ89"/>
      <c r="WUK89"/>
      <c r="WUL89"/>
      <c r="WUM89"/>
      <c r="WUN89"/>
      <c r="WUO89"/>
      <c r="WUP89"/>
      <c r="WUQ89"/>
      <c r="WUR89"/>
      <c r="WUS89"/>
      <c r="WUT89"/>
      <c r="WUU89"/>
      <c r="WUV89"/>
      <c r="WUW89"/>
      <c r="WUX89"/>
      <c r="WUY89"/>
      <c r="WUZ89"/>
      <c r="WVA89"/>
      <c r="WVB89"/>
      <c r="WVC89"/>
      <c r="WVD89"/>
      <c r="WVE89"/>
      <c r="WVF89"/>
      <c r="WVG89"/>
      <c r="WVH89"/>
      <c r="WVI89"/>
      <c r="WVJ89"/>
      <c r="WVK89"/>
      <c r="WVL89"/>
      <c r="WVM89"/>
      <c r="WVN89"/>
      <c r="WVO89"/>
      <c r="WVP89"/>
      <c r="WVQ89"/>
      <c r="WVR89"/>
      <c r="WVS89"/>
      <c r="WVT89"/>
      <c r="WVU89"/>
      <c r="WVV89"/>
      <c r="WVW89"/>
      <c r="WVX89"/>
      <c r="WVY89"/>
      <c r="WVZ89"/>
      <c r="WWA89"/>
      <c r="WWB89"/>
      <c r="WWC89"/>
      <c r="WWD89"/>
      <c r="WWE89"/>
      <c r="WWF89"/>
      <c r="WWG89"/>
      <c r="WWH89"/>
      <c r="WWI89"/>
      <c r="WWJ89"/>
      <c r="WWK89"/>
      <c r="WWL89"/>
      <c r="WWM89"/>
      <c r="WWN89"/>
      <c r="WWO89"/>
      <c r="WWP89"/>
      <c r="WWQ89"/>
      <c r="WWR89"/>
      <c r="WWS89"/>
      <c r="WWT89"/>
      <c r="WWU89"/>
      <c r="WWV89"/>
      <c r="WWW89"/>
      <c r="WWX89"/>
      <c r="WWY89"/>
      <c r="WWZ89"/>
      <c r="WXA89"/>
      <c r="WXB89"/>
      <c r="WXC89"/>
      <c r="WXD89"/>
      <c r="WXE89"/>
      <c r="WXF89"/>
      <c r="WXG89"/>
      <c r="WXH89"/>
      <c r="WXI89"/>
      <c r="WXJ89"/>
      <c r="WXK89"/>
      <c r="WXL89"/>
      <c r="WXM89"/>
      <c r="WXN89"/>
      <c r="WXO89"/>
      <c r="WXP89"/>
      <c r="WXQ89"/>
      <c r="WXR89"/>
      <c r="WXS89"/>
      <c r="WXT89"/>
      <c r="WXU89"/>
      <c r="WXV89"/>
      <c r="WXW89"/>
      <c r="WXX89"/>
      <c r="WXY89"/>
      <c r="WXZ89"/>
      <c r="WYA89"/>
      <c r="WYB89"/>
      <c r="WYC89"/>
      <c r="WYD89"/>
      <c r="WYE89"/>
      <c r="WYF89"/>
      <c r="WYG89"/>
      <c r="WYH89"/>
      <c r="WYI89"/>
      <c r="WYJ89"/>
      <c r="WYK89"/>
      <c r="WYL89"/>
      <c r="WYM89"/>
      <c r="WYN89"/>
      <c r="WYO89"/>
      <c r="WYP89"/>
      <c r="WYQ89"/>
      <c r="WYR89"/>
      <c r="WYS89"/>
      <c r="WYT89"/>
      <c r="WYU89"/>
      <c r="WYV89"/>
      <c r="WYW89"/>
      <c r="WYX89"/>
      <c r="WYY89"/>
      <c r="WYZ89"/>
      <c r="WZA89"/>
      <c r="WZB89"/>
      <c r="WZC89"/>
      <c r="WZD89"/>
      <c r="WZE89"/>
      <c r="WZF89"/>
      <c r="WZG89"/>
      <c r="WZH89"/>
      <c r="WZI89"/>
      <c r="WZJ89"/>
      <c r="WZK89"/>
      <c r="WZL89"/>
      <c r="WZM89"/>
      <c r="WZN89"/>
      <c r="WZO89"/>
      <c r="WZP89"/>
      <c r="WZQ89"/>
      <c r="WZR89"/>
      <c r="WZS89"/>
      <c r="WZT89"/>
      <c r="WZU89"/>
      <c r="WZV89"/>
      <c r="WZW89"/>
      <c r="WZX89"/>
      <c r="WZY89"/>
      <c r="WZZ89"/>
      <c r="XAA89"/>
      <c r="XAB89"/>
      <c r="XAC89"/>
      <c r="XAD89"/>
      <c r="XAE89"/>
      <c r="XAF89"/>
      <c r="XAG89"/>
      <c r="XAH89"/>
      <c r="XAI89"/>
      <c r="XAJ89"/>
      <c r="XAK89"/>
      <c r="XAL89"/>
      <c r="XAM89"/>
      <c r="XAN89"/>
      <c r="XAO89"/>
      <c r="XAP89"/>
      <c r="XAQ89"/>
      <c r="XAR89"/>
      <c r="XAS89"/>
      <c r="XAT89"/>
      <c r="XAU89"/>
      <c r="XAV89"/>
      <c r="XAW89"/>
      <c r="XAX89"/>
      <c r="XAY89"/>
      <c r="XAZ89"/>
      <c r="XBA89"/>
      <c r="XBB89"/>
      <c r="XBC89"/>
      <c r="XBD89"/>
      <c r="XBE89"/>
      <c r="XBF89"/>
      <c r="XBG89"/>
      <c r="XBH89"/>
      <c r="XBI89"/>
      <c r="XBJ89"/>
      <c r="XBK89"/>
      <c r="XBL89"/>
      <c r="XBM89"/>
      <c r="XBN89"/>
      <c r="XBO89"/>
      <c r="XBP89"/>
      <c r="XBQ89"/>
      <c r="XBR89"/>
      <c r="XBS89"/>
      <c r="XBT89"/>
      <c r="XBU89"/>
      <c r="XBV89"/>
      <c r="XBW89"/>
      <c r="XBX89"/>
      <c r="XBY89"/>
      <c r="XBZ89"/>
      <c r="XCA89"/>
      <c r="XCB89"/>
      <c r="XCC89"/>
      <c r="XCD89"/>
      <c r="XCE89"/>
      <c r="XCF89"/>
      <c r="XCG89"/>
      <c r="XCH89"/>
      <c r="XCI89"/>
      <c r="XCJ89"/>
      <c r="XCK89"/>
      <c r="XCL89"/>
      <c r="XCM89"/>
      <c r="XCN89"/>
      <c r="XCO89"/>
      <c r="XCP89"/>
      <c r="XCQ89"/>
      <c r="XCR89"/>
      <c r="XCS89"/>
      <c r="XCT89"/>
      <c r="XCU89"/>
      <c r="XCV89"/>
      <c r="XCW89"/>
      <c r="XCX89"/>
      <c r="XCY89"/>
      <c r="XCZ89"/>
      <c r="XDA89"/>
      <c r="XDB89"/>
      <c r="XDC89"/>
      <c r="XDD89"/>
      <c r="XDE89"/>
      <c r="XDF89"/>
      <c r="XDG89"/>
      <c r="XDH89"/>
      <c r="XDI89"/>
      <c r="XDJ89"/>
      <c r="XDK89"/>
      <c r="XDL89"/>
      <c r="XDM89"/>
      <c r="XDN89"/>
      <c r="XDO89"/>
      <c r="XDP89"/>
      <c r="XDQ89"/>
      <c r="XDR89"/>
      <c r="XDS89"/>
      <c r="XDT89"/>
      <c r="XDU89"/>
      <c r="XDV89"/>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c r="XFB89"/>
      <c r="XFC89"/>
      <c r="XFD89" s="25"/>
    </row>
    <row r="90" spans="1:16384" s="138" customFormat="1" hidden="1">
      <c r="A90" s="135"/>
      <c r="B90" s="788"/>
      <c r="C90" s="139"/>
      <c r="D90" s="1813"/>
      <c r="E90" s="1813"/>
      <c r="F90" s="1813"/>
      <c r="G90" s="1813"/>
      <c r="H90" s="1813"/>
      <c r="I90" s="1813"/>
      <c r="J90" s="1813"/>
      <c r="K90" s="1813"/>
      <c r="L90" s="1813"/>
      <c r="M90" s="1813"/>
      <c r="N90" s="1813"/>
      <c r="O90" s="1813"/>
      <c r="P90" s="1813"/>
      <c r="Q90" s="4"/>
      <c r="R90" s="4"/>
      <c r="S90" s="9"/>
      <c r="T90" s="1"/>
      <c r="U90" s="1"/>
      <c r="V90" s="137"/>
      <c r="W90" s="226"/>
      <c r="X90" s="226"/>
      <c r="Y90" s="227"/>
    </row>
    <row r="91" spans="1:16384" hidden="1">
      <c r="A91" s="123"/>
      <c r="B91" s="789"/>
      <c r="D91" s="124"/>
      <c r="E91" s="124"/>
      <c r="F91" s="124"/>
      <c r="G91" s="124"/>
      <c r="H91" s="124"/>
      <c r="I91" s="124"/>
      <c r="J91" s="124"/>
      <c r="K91" s="124"/>
      <c r="L91" s="124"/>
      <c r="M91" s="124"/>
      <c r="N91" s="124"/>
      <c r="O91" s="124"/>
      <c r="P91" s="124"/>
      <c r="Q91" s="1"/>
      <c r="R91" s="1"/>
      <c r="S91" s="48"/>
      <c r="V91" s="21"/>
      <c r="W91" s="228"/>
      <c r="X91" s="228"/>
      <c r="Y91" s="165"/>
    </row>
    <row r="92" spans="1:16384" s="25" customFormat="1" hidden="1">
      <c r="A92" s="126"/>
      <c r="B92" s="787" t="s">
        <v>13</v>
      </c>
      <c r="C92" s="26"/>
      <c r="D92" s="1813"/>
      <c r="E92" s="1813"/>
      <c r="F92" s="1813"/>
      <c r="G92" s="1813"/>
      <c r="H92" s="1813"/>
      <c r="I92" s="1813"/>
      <c r="J92" s="1813"/>
      <c r="K92" s="1813"/>
      <c r="L92" s="1813"/>
      <c r="M92" s="1813"/>
      <c r="N92" s="1813"/>
      <c r="O92" s="1813"/>
      <c r="P92" s="1813"/>
      <c r="Q92" s="1"/>
      <c r="R92" s="1"/>
      <c r="S92" s="48"/>
      <c r="T92" s="1"/>
      <c r="U92" s="1"/>
      <c r="V92" s="32"/>
      <c r="W92" s="224"/>
      <c r="X92" s="224"/>
      <c r="Y92" s="225"/>
    </row>
    <row r="93" spans="1:16384" s="138" customFormat="1" hidden="1">
      <c r="A93" s="135"/>
      <c r="B93" s="788"/>
      <c r="C93" s="139"/>
      <c r="D93" s="1813"/>
      <c r="E93" s="1813"/>
      <c r="F93" s="1813"/>
      <c r="G93" s="1813"/>
      <c r="H93" s="1813"/>
      <c r="I93" s="1813"/>
      <c r="J93" s="1813"/>
      <c r="K93" s="1813"/>
      <c r="L93" s="1813"/>
      <c r="M93" s="1813"/>
      <c r="N93" s="1813"/>
      <c r="O93" s="1813"/>
      <c r="P93" s="1813"/>
      <c r="Q93" s="1"/>
      <c r="R93" s="1"/>
      <c r="S93" s="9"/>
      <c r="T93" s="1"/>
      <c r="U93" s="1"/>
      <c r="V93" s="137"/>
      <c r="W93" s="226"/>
      <c r="X93" s="226"/>
      <c r="Y93" s="227"/>
    </row>
    <row r="94" spans="1:16384" hidden="1">
      <c r="A94" s="123"/>
      <c r="B94" s="789"/>
      <c r="D94" s="124"/>
      <c r="E94" s="124"/>
      <c r="F94" s="124"/>
      <c r="G94" s="124"/>
      <c r="H94" s="124"/>
      <c r="I94" s="124"/>
      <c r="J94" s="124"/>
      <c r="K94" s="124"/>
      <c r="L94" s="124"/>
      <c r="M94" s="124"/>
      <c r="N94" s="124"/>
      <c r="O94" s="124"/>
      <c r="P94" s="124"/>
      <c r="Q94" s="1"/>
      <c r="R94" s="1"/>
      <c r="S94" s="8"/>
      <c r="V94" s="21"/>
      <c r="W94" s="228"/>
      <c r="X94" s="228"/>
      <c r="Y94" s="165"/>
    </row>
    <row r="95" spans="1:16384" s="25" customFormat="1" hidden="1">
      <c r="A95" s="126"/>
      <c r="B95" s="787" t="s">
        <v>160</v>
      </c>
      <c r="C95" s="26"/>
      <c r="D95" s="1813"/>
      <c r="E95" s="1813"/>
      <c r="F95" s="1813"/>
      <c r="G95" s="1813"/>
      <c r="H95" s="1813"/>
      <c r="I95" s="1813"/>
      <c r="J95" s="1813"/>
      <c r="K95" s="1813"/>
      <c r="L95" s="1813"/>
      <c r="M95" s="1813"/>
      <c r="N95" s="1813"/>
      <c r="O95" s="1813"/>
      <c r="P95" s="1813"/>
      <c r="Q95" s="1"/>
      <c r="R95" s="1"/>
      <c r="S95" s="8"/>
      <c r="T95" s="1"/>
      <c r="U95" s="1"/>
      <c r="V95" s="32"/>
      <c r="W95" s="224"/>
      <c r="X95" s="224"/>
      <c r="Y95" s="225"/>
    </row>
    <row r="96" spans="1:16384" s="138" customFormat="1" hidden="1">
      <c r="A96" s="135"/>
      <c r="B96" s="788"/>
      <c r="C96" s="139"/>
      <c r="D96" s="1813"/>
      <c r="E96" s="1813"/>
      <c r="F96" s="1813"/>
      <c r="G96" s="1813"/>
      <c r="H96" s="1813"/>
      <c r="I96" s="1813"/>
      <c r="J96" s="1813"/>
      <c r="K96" s="1813"/>
      <c r="L96" s="1813"/>
      <c r="M96" s="1813"/>
      <c r="N96" s="1813"/>
      <c r="O96" s="1813"/>
      <c r="P96" s="1813"/>
      <c r="Q96" s="1"/>
      <c r="R96" s="1"/>
      <c r="S96" s="9"/>
      <c r="T96" s="1"/>
      <c r="U96" s="1"/>
      <c r="V96" s="137"/>
      <c r="W96" s="226"/>
      <c r="X96" s="226"/>
      <c r="Y96" s="227"/>
    </row>
    <row r="97" spans="1:25" hidden="1">
      <c r="A97" s="123"/>
      <c r="B97" s="789"/>
      <c r="D97" s="124"/>
      <c r="E97" s="124"/>
      <c r="F97" s="124"/>
      <c r="G97" s="124"/>
      <c r="H97" s="124"/>
      <c r="I97" s="124"/>
      <c r="J97" s="124"/>
      <c r="K97" s="124"/>
      <c r="L97" s="124"/>
      <c r="M97" s="124"/>
      <c r="N97" s="124"/>
      <c r="O97" s="124"/>
      <c r="P97" s="124"/>
      <c r="Q97" s="1"/>
      <c r="R97" s="1"/>
      <c r="S97" s="8"/>
      <c r="V97" s="21"/>
      <c r="W97" s="228"/>
      <c r="X97" s="228"/>
      <c r="Y97" s="165"/>
    </row>
    <row r="98" spans="1:25" s="25" customFormat="1" hidden="1">
      <c r="A98" s="126"/>
      <c r="B98" s="787" t="s">
        <v>161</v>
      </c>
      <c r="C98" s="26"/>
      <c r="D98" s="1813"/>
      <c r="E98" s="1813"/>
      <c r="F98" s="1813"/>
      <c r="G98" s="1813"/>
      <c r="H98" s="1813"/>
      <c r="I98" s="1813"/>
      <c r="J98" s="1813"/>
      <c r="K98" s="1813"/>
      <c r="L98" s="1813"/>
      <c r="M98" s="1813"/>
      <c r="N98" s="1813"/>
      <c r="O98" s="1813"/>
      <c r="P98" s="1813"/>
      <c r="Q98" s="1"/>
      <c r="R98" s="1"/>
      <c r="S98" s="8"/>
      <c r="T98" s="1"/>
      <c r="U98" s="1"/>
      <c r="V98" s="698"/>
      <c r="W98" s="224"/>
      <c r="X98" s="224"/>
      <c r="Y98" s="225"/>
    </row>
    <row r="99" spans="1:25" s="138" customFormat="1" hidden="1">
      <c r="A99" s="135"/>
      <c r="B99" s="788"/>
      <c r="C99" s="139"/>
      <c r="D99" s="1813"/>
      <c r="E99" s="1813"/>
      <c r="F99" s="1813"/>
      <c r="G99" s="1813"/>
      <c r="H99" s="1813"/>
      <c r="I99" s="1813"/>
      <c r="J99" s="1813"/>
      <c r="K99" s="1813"/>
      <c r="L99" s="1813"/>
      <c r="M99" s="1813"/>
      <c r="N99" s="1813"/>
      <c r="O99" s="1813"/>
      <c r="P99" s="1813"/>
      <c r="Q99" s="1"/>
      <c r="R99" s="1"/>
      <c r="S99" s="9"/>
      <c r="T99" s="1"/>
      <c r="U99" s="1"/>
      <c r="V99" s="137"/>
      <c r="W99" s="226"/>
      <c r="X99" s="226"/>
      <c r="Y99" s="227"/>
    </row>
    <row r="100" spans="1:25" hidden="1">
      <c r="A100" s="123"/>
      <c r="B100" s="789"/>
      <c r="D100" s="124"/>
      <c r="E100" s="124"/>
      <c r="F100" s="124"/>
      <c r="G100" s="124"/>
      <c r="H100" s="124"/>
      <c r="I100" s="124"/>
      <c r="J100" s="124"/>
      <c r="K100" s="124"/>
      <c r="L100" s="124"/>
      <c r="M100" s="124"/>
      <c r="N100" s="124"/>
      <c r="O100" s="124"/>
      <c r="P100" s="124"/>
      <c r="Q100" s="1"/>
      <c r="R100" s="1"/>
      <c r="S100" s="8"/>
      <c r="V100" s="21"/>
      <c r="W100" s="228"/>
      <c r="X100" s="228"/>
      <c r="Y100" s="165"/>
    </row>
    <row r="101" spans="1:25" s="25" customFormat="1" hidden="1">
      <c r="A101" s="126"/>
      <c r="B101" s="787" t="s">
        <v>124</v>
      </c>
      <c r="C101" s="26"/>
      <c r="D101" s="1813"/>
      <c r="E101" s="1813"/>
      <c r="F101" s="1813"/>
      <c r="G101" s="1813"/>
      <c r="H101" s="1813"/>
      <c r="I101" s="1813"/>
      <c r="J101" s="1813"/>
      <c r="K101" s="1813"/>
      <c r="L101" s="1813"/>
      <c r="M101" s="1813"/>
      <c r="N101" s="1813"/>
      <c r="O101" s="1813"/>
      <c r="P101" s="1813"/>
      <c r="Q101" s="1"/>
      <c r="R101" s="1"/>
      <c r="S101" s="8"/>
      <c r="T101" s="1"/>
      <c r="U101" s="1"/>
      <c r="V101" s="32"/>
      <c r="W101" s="224"/>
      <c r="X101" s="224"/>
      <c r="Y101" s="225"/>
    </row>
    <row r="102" spans="1:25" s="25" customFormat="1" hidden="1">
      <c r="B102" s="792"/>
      <c r="D102" s="1813"/>
      <c r="E102" s="1813"/>
      <c r="F102" s="1813"/>
      <c r="G102" s="1813"/>
      <c r="H102" s="1813"/>
      <c r="I102" s="1813"/>
      <c r="J102" s="1813"/>
      <c r="K102" s="1813"/>
      <c r="L102" s="1813"/>
      <c r="M102" s="1813"/>
      <c r="N102" s="1813"/>
      <c r="O102" s="1813"/>
      <c r="P102" s="1813"/>
      <c r="Q102" s="1"/>
      <c r="R102" s="1"/>
      <c r="S102" s="9"/>
      <c r="T102" s="1"/>
      <c r="U102" s="1"/>
    </row>
    <row r="103" spans="1:25" hidden="1">
      <c r="B103" s="789"/>
      <c r="D103" s="13"/>
      <c r="E103" s="13"/>
      <c r="F103" s="13"/>
      <c r="G103" s="13"/>
      <c r="H103" s="13"/>
      <c r="I103" s="13"/>
      <c r="J103" s="13"/>
      <c r="K103" s="13"/>
      <c r="L103" s="13"/>
      <c r="M103" s="164"/>
      <c r="N103" s="13"/>
      <c r="O103" s="13"/>
      <c r="P103" s="13"/>
      <c r="Q103" s="1"/>
      <c r="R103" s="1"/>
      <c r="S103" s="48"/>
      <c r="W103" s="46"/>
      <c r="X103" s="46"/>
      <c r="Y103" s="223"/>
    </row>
    <row r="104" spans="1:25" s="25" customFormat="1" hidden="1">
      <c r="A104" s="126"/>
      <c r="B104" s="787" t="s">
        <v>162</v>
      </c>
      <c r="C104" s="26"/>
      <c r="D104" s="1813"/>
      <c r="E104" s="1813"/>
      <c r="F104" s="1813"/>
      <c r="G104" s="1813"/>
      <c r="H104" s="1813"/>
      <c r="I104" s="1813"/>
      <c r="J104" s="1813"/>
      <c r="K104" s="1813"/>
      <c r="L104" s="1813"/>
      <c r="M104" s="1813"/>
      <c r="N104" s="1813"/>
      <c r="O104" s="1813"/>
      <c r="P104" s="1813"/>
      <c r="Q104" s="1"/>
      <c r="R104" s="1"/>
      <c r="S104" s="48"/>
      <c r="T104" s="1"/>
      <c r="U104" s="1"/>
      <c r="V104" s="32"/>
      <c r="W104" s="224"/>
      <c r="X104" s="224"/>
      <c r="Y104" s="225"/>
    </row>
    <row r="105" spans="1:25" s="25" customFormat="1" hidden="1">
      <c r="B105" s="792"/>
      <c r="D105" s="1813"/>
      <c r="E105" s="1813"/>
      <c r="F105" s="1813"/>
      <c r="G105" s="1813"/>
      <c r="H105" s="1813"/>
      <c r="I105" s="1813"/>
      <c r="J105" s="1813"/>
      <c r="K105" s="1813"/>
      <c r="L105" s="1813"/>
      <c r="M105" s="1813"/>
      <c r="N105" s="1813"/>
      <c r="O105" s="1813"/>
      <c r="P105" s="1813"/>
      <c r="Q105" s="1"/>
      <c r="R105" s="1"/>
      <c r="S105" s="9"/>
      <c r="T105" s="1"/>
      <c r="U105" s="1"/>
    </row>
    <row r="106" spans="1:25">
      <c r="B106" s="789"/>
      <c r="M106" s="11"/>
      <c r="P106" s="1"/>
      <c r="Q106" s="1"/>
      <c r="R106" s="1"/>
      <c r="S106" s="48"/>
      <c r="W106" s="46"/>
      <c r="X106" s="46"/>
      <c r="Y106" s="223"/>
    </row>
    <row r="107" spans="1:25">
      <c r="B107" s="789"/>
      <c r="C107" s="3"/>
      <c r="M107" s="11"/>
      <c r="P107" s="1"/>
      <c r="Q107" s="1"/>
      <c r="R107" s="1"/>
      <c r="S107" s="48"/>
      <c r="W107" s="46"/>
      <c r="X107" s="46"/>
      <c r="Y107" s="223"/>
    </row>
    <row r="108" spans="1:25">
      <c r="B108" s="789"/>
      <c r="M108" s="11"/>
      <c r="P108" s="1"/>
      <c r="Q108" s="1"/>
      <c r="R108" s="1"/>
      <c r="S108" s="48"/>
      <c r="W108" s="46"/>
      <c r="X108" s="46"/>
      <c r="Y108" s="223"/>
    </row>
    <row r="109" spans="1:25">
      <c r="B109" s="789"/>
      <c r="C109" s="3"/>
      <c r="M109" s="11"/>
      <c r="P109" s="1"/>
      <c r="Q109" s="1"/>
      <c r="R109" s="1"/>
      <c r="S109" s="48"/>
      <c r="V109" s="6" t="s">
        <v>28</v>
      </c>
      <c r="W109" s="46"/>
      <c r="X109" s="46"/>
      <c r="Y109" s="223"/>
    </row>
    <row r="110" spans="1:25" s="25" customFormat="1">
      <c r="B110" s="787"/>
      <c r="C110" s="33"/>
      <c r="S110" s="1553"/>
      <c r="V110" s="27"/>
      <c r="W110" s="101"/>
      <c r="X110" s="101"/>
      <c r="Y110" s="106"/>
    </row>
    <row r="111" spans="1:25" s="25" customFormat="1" ht="18.5">
      <c r="B111" s="793"/>
      <c r="C111" s="29"/>
      <c r="D111" s="1821" t="str">
        <f>Text!C44</f>
        <v>Themenübergeordnete Fragen</v>
      </c>
      <c r="E111" s="1821"/>
      <c r="F111" s="1821"/>
      <c r="G111" s="1821"/>
      <c r="H111" s="1821"/>
      <c r="I111" s="1821"/>
      <c r="J111" s="1821"/>
      <c r="K111" s="1821"/>
      <c r="L111" s="1821"/>
      <c r="M111" s="1821"/>
      <c r="N111" s="1821"/>
      <c r="O111" s="1821"/>
      <c r="P111" s="1821"/>
      <c r="S111" s="1553"/>
      <c r="V111" s="27"/>
      <c r="W111" s="101"/>
      <c r="X111" s="101"/>
      <c r="Y111" s="106"/>
    </row>
    <row r="112" spans="1:25" s="25" customFormat="1">
      <c r="B112" s="787"/>
      <c r="C112" s="33"/>
      <c r="S112" s="1553"/>
      <c r="V112" s="27"/>
      <c r="W112" s="101"/>
      <c r="X112" s="101"/>
      <c r="Y112" s="106"/>
    </row>
    <row r="113" spans="1:26 16384:16384" s="25" customFormat="1" ht="15" customHeight="1">
      <c r="B113" s="787"/>
      <c r="C113" s="33"/>
      <c r="D113" s="1828" t="str">
        <f>Text!C45</f>
        <v>Diese übergeordneten Fragen decken mehrere Kriterien, teilweise auch aus verschiedenen Themenbereichen ab.</v>
      </c>
      <c r="E113" s="1828"/>
      <c r="F113" s="1828"/>
      <c r="G113" s="1828"/>
      <c r="H113" s="1828"/>
      <c r="I113" s="1828"/>
      <c r="J113" s="1828"/>
      <c r="K113" s="1828"/>
      <c r="L113" s="1828"/>
      <c r="M113" s="1828"/>
      <c r="N113" s="1828"/>
      <c r="O113" s="1828"/>
      <c r="P113" s="1828"/>
      <c r="Q113" s="100"/>
      <c r="R113" s="100"/>
      <c r="S113" s="1556"/>
      <c r="T113" s="100"/>
      <c r="U113" s="100"/>
      <c r="V113" s="100"/>
      <c r="W113" s="101"/>
      <c r="X113" s="101"/>
      <c r="Y113" s="106"/>
    </row>
    <row r="114" spans="1:26 16384:16384" s="25" customFormat="1">
      <c r="B114" s="787"/>
      <c r="C114" s="33"/>
      <c r="E114" s="30"/>
      <c r="F114" s="30"/>
      <c r="G114" s="31"/>
      <c r="H114" s="31"/>
      <c r="I114" s="31"/>
      <c r="J114" s="31"/>
      <c r="K114" s="31"/>
      <c r="L114" s="31"/>
      <c r="M114" s="31"/>
      <c r="S114" s="1553"/>
      <c r="V114" s="27"/>
      <c r="W114" s="101"/>
      <c r="X114" s="101"/>
      <c r="Y114" s="106"/>
    </row>
    <row r="115" spans="1:26 16384:16384">
      <c r="B115" s="789"/>
      <c r="M115"/>
      <c r="S115" s="92"/>
      <c r="W115" s="46"/>
      <c r="X115" s="46"/>
      <c r="Y115" s="223"/>
    </row>
    <row r="116" spans="1:26 16384:16384" ht="14.5" customHeight="1">
      <c r="A116" s="25"/>
      <c r="B116" s="787" t="s">
        <v>5</v>
      </c>
      <c r="C116" s="26"/>
      <c r="D116" s="1813" t="str">
        <f>Text!C46</f>
        <v>Wird das Gebäude nach Minergie-(A/P)-ECO® Standard gebaut? (Anforderungen an Heizwärmebedarf, Endenergiebedarf, Eigenstromerzeugung, Sommerlicher Wärmeschutz)</v>
      </c>
      <c r="E116" s="1813"/>
      <c r="F116" s="1813"/>
      <c r="G116" s="1813"/>
      <c r="H116" s="1813"/>
      <c r="I116" s="1813"/>
      <c r="J116" s="1813"/>
      <c r="K116" s="1813"/>
      <c r="L116" s="1813"/>
      <c r="M116" s="1813"/>
      <c r="N116" s="1813"/>
      <c r="O116" s="1813"/>
      <c r="P116" s="1813"/>
      <c r="S116" s="92"/>
      <c r="V116" s="32" t="str">
        <f>Text!C20</f>
        <v>11 Kriterien</v>
      </c>
      <c r="W116" s="1307"/>
      <c r="X116" s="1307"/>
      <c r="Y116" s="229" t="str">
        <f>Text!C12</f>
        <v>Info [3]</v>
      </c>
      <c r="XFD116" s="25"/>
    </row>
    <row r="117" spans="1:26 16384:16384" s="138" customFormat="1" ht="15" customHeight="1">
      <c r="B117" s="788"/>
      <c r="C117" s="136"/>
      <c r="D117" s="1813"/>
      <c r="E117" s="1813"/>
      <c r="F117" s="1813"/>
      <c r="G117" s="1813"/>
      <c r="H117" s="1813"/>
      <c r="I117" s="1813"/>
      <c r="J117" s="1813"/>
      <c r="K117" s="1813"/>
      <c r="L117" s="1813"/>
      <c r="M117" s="1813"/>
      <c r="N117" s="1813"/>
      <c r="O117" s="1813"/>
      <c r="P117" s="1813"/>
      <c r="Q117" s="1"/>
      <c r="R117" s="1"/>
      <c r="S117" s="9"/>
      <c r="T117" s="1"/>
      <c r="U117" s="1"/>
      <c r="V117" s="1827" t="str">
        <f>Text!C19</f>
        <v>&gt; Für eine vollständige Liste hier klicken</v>
      </c>
      <c r="W117" s="1827"/>
      <c r="X117" s="1827"/>
      <c r="Y117" s="1827"/>
    </row>
    <row r="118" spans="1:26 16384:16384" ht="15" hidden="1" customHeight="1">
      <c r="B118" s="789"/>
      <c r="C118" s="3"/>
      <c r="D118" s="124"/>
      <c r="E118" s="124"/>
      <c r="F118" s="124"/>
      <c r="G118" s="124"/>
      <c r="H118" s="124"/>
      <c r="I118" s="124"/>
      <c r="J118" s="124"/>
      <c r="K118" s="124"/>
      <c r="L118" s="124"/>
      <c r="M118" s="124"/>
      <c r="N118" s="124"/>
      <c r="O118" s="124"/>
      <c r="P118" s="125"/>
      <c r="S118" s="92"/>
      <c r="V118" s="21"/>
      <c r="W118" s="228"/>
      <c r="X118" s="228"/>
      <c r="Y118" s="165"/>
    </row>
    <row r="119" spans="1:26 16384:16384" ht="15" hidden="1" customHeight="1">
      <c r="A119" s="25"/>
      <c r="B119" s="787" t="s">
        <v>15</v>
      </c>
      <c r="C119" s="34"/>
      <c r="D119" s="1813" t="str">
        <f>Text!C47</f>
        <v>Wird das Gebäude nach Minergie-(A/P)® Standard gebaut? (Anforderungen an Heizwärmebedarf, Endenergiebedarf, Eigenstromerzeugung, Sommerlicher Wärmeschutz)</v>
      </c>
      <c r="E119" s="1813"/>
      <c r="F119" s="1813"/>
      <c r="G119" s="1813"/>
      <c r="H119" s="1813"/>
      <c r="I119" s="1813"/>
      <c r="J119" s="1813"/>
      <c r="K119" s="1813"/>
      <c r="L119" s="1813"/>
      <c r="M119" s="1813"/>
      <c r="N119" s="1813"/>
      <c r="O119" s="1813"/>
      <c r="P119" s="1813"/>
      <c r="S119" s="92"/>
      <c r="V119" s="32" t="str">
        <f>Text!C21</f>
        <v>4 Kriterien</v>
      </c>
      <c r="W119" s="1307"/>
      <c r="X119" s="1307"/>
      <c r="Y119" s="1307"/>
      <c r="XFD119" s="25"/>
    </row>
    <row r="120" spans="1:26 16384:16384" s="138" customFormat="1" ht="15" hidden="1" customHeight="1">
      <c r="B120" s="790"/>
      <c r="D120" s="1813"/>
      <c r="E120" s="1813"/>
      <c r="F120" s="1813"/>
      <c r="G120" s="1813"/>
      <c r="H120" s="1813"/>
      <c r="I120" s="1813"/>
      <c r="J120" s="1813"/>
      <c r="K120" s="1813"/>
      <c r="L120" s="1813"/>
      <c r="M120" s="1813"/>
      <c r="N120" s="1813"/>
      <c r="O120" s="1813"/>
      <c r="P120" s="1813"/>
      <c r="Q120" s="4"/>
      <c r="R120" s="4"/>
      <c r="S120" s="9"/>
      <c r="T120" s="1"/>
      <c r="U120" s="1"/>
      <c r="V120" s="1308" t="str">
        <f>Text!C19</f>
        <v>&gt; Für eine vollständige Liste hier klicken</v>
      </c>
      <c r="W120" s="1307"/>
      <c r="X120" s="1307"/>
      <c r="Y120" s="1307"/>
    </row>
    <row r="121" spans="1:26 16384:16384">
      <c r="B121" s="789"/>
      <c r="D121" s="124"/>
      <c r="E121" s="124"/>
      <c r="F121" s="124"/>
      <c r="G121" s="124"/>
      <c r="H121" s="124"/>
      <c r="I121" s="124"/>
      <c r="J121" s="124"/>
      <c r="K121" s="124"/>
      <c r="L121" s="124"/>
      <c r="M121" s="124"/>
      <c r="N121" s="124"/>
      <c r="O121" s="124"/>
      <c r="P121" s="125"/>
      <c r="S121" s="48"/>
      <c r="V121" s="21"/>
      <c r="W121" s="21"/>
      <c r="X121" s="21"/>
      <c r="Y121" s="165"/>
    </row>
    <row r="122" spans="1:26 16384:16384" ht="15" hidden="1" customHeight="1">
      <c r="A122" s="25"/>
      <c r="B122" s="787" t="s">
        <v>6</v>
      </c>
      <c r="C122" s="26"/>
      <c r="D122" s="1813"/>
      <c r="E122" s="1813"/>
      <c r="F122" s="1813"/>
      <c r="G122" s="1813"/>
      <c r="H122" s="1813"/>
      <c r="I122" s="1813"/>
      <c r="J122" s="1813"/>
      <c r="K122" s="1813"/>
      <c r="L122" s="1813"/>
      <c r="M122" s="1813"/>
      <c r="N122" s="1813"/>
      <c r="O122" s="1813"/>
      <c r="P122" s="1813"/>
      <c r="S122" s="48"/>
      <c r="V122" s="32"/>
      <c r="W122" s="1827"/>
      <c r="X122" s="1827"/>
      <c r="Y122" s="1827"/>
      <c r="Z122" s="35"/>
      <c r="XFD122" s="25"/>
    </row>
    <row r="123" spans="1:26 16384:16384" s="26" customFormat="1" ht="15" hidden="1" customHeight="1">
      <c r="B123" s="787"/>
      <c r="D123" s="1813"/>
      <c r="E123" s="1813"/>
      <c r="F123" s="1813"/>
      <c r="G123" s="1813"/>
      <c r="H123" s="1813"/>
      <c r="I123" s="1813"/>
      <c r="J123" s="1813"/>
      <c r="K123" s="1813"/>
      <c r="L123" s="1813"/>
      <c r="M123" s="1813"/>
      <c r="N123" s="1813"/>
      <c r="O123" s="1813"/>
      <c r="P123" s="1813"/>
      <c r="Q123" s="4"/>
      <c r="R123" s="4"/>
      <c r="S123" s="9"/>
      <c r="T123" s="1"/>
      <c r="U123" s="1"/>
      <c r="V123" s="108"/>
      <c r="W123" s="1827"/>
      <c r="X123" s="1827"/>
      <c r="Y123" s="1827"/>
    </row>
    <row r="124" spans="1:26 16384:16384" ht="15" hidden="1" customHeight="1">
      <c r="B124" s="789"/>
      <c r="D124" s="124"/>
      <c r="E124" s="124"/>
      <c r="F124" s="124"/>
      <c r="G124" s="124"/>
      <c r="H124" s="124"/>
      <c r="I124" s="124"/>
      <c r="J124" s="124"/>
      <c r="K124" s="124"/>
      <c r="L124" s="124"/>
      <c r="M124" s="124"/>
      <c r="N124" s="124"/>
      <c r="O124" s="124"/>
      <c r="P124" s="125"/>
      <c r="S124" s="48"/>
      <c r="V124" s="21"/>
      <c r="W124" s="21"/>
      <c r="X124" s="21"/>
      <c r="Y124" s="165"/>
    </row>
    <row r="125" spans="1:26 16384:16384" ht="15" hidden="1" customHeight="1">
      <c r="A125" s="25"/>
      <c r="B125" s="787" t="s">
        <v>7</v>
      </c>
      <c r="C125" s="26"/>
      <c r="D125" s="1813"/>
      <c r="E125" s="1826"/>
      <c r="F125" s="1826"/>
      <c r="G125" s="1826"/>
      <c r="H125" s="1826"/>
      <c r="I125" s="1826"/>
      <c r="J125" s="1826"/>
      <c r="K125" s="1826"/>
      <c r="L125" s="1826"/>
      <c r="M125" s="1826"/>
      <c r="N125" s="1826"/>
      <c r="O125" s="1826"/>
      <c r="P125" s="1826"/>
      <c r="S125" s="48"/>
      <c r="V125" s="32"/>
      <c r="W125" s="224"/>
      <c r="X125" s="224"/>
      <c r="Y125" s="225"/>
      <c r="XFD125" s="25"/>
    </row>
    <row r="126" spans="1:26 16384:16384" ht="15" hidden="1" customHeight="1">
      <c r="A126" s="25"/>
      <c r="B126" s="787"/>
      <c r="C126" s="26"/>
      <c r="D126" s="1826"/>
      <c r="E126" s="1826"/>
      <c r="F126" s="1826"/>
      <c r="G126" s="1826"/>
      <c r="H126" s="1826"/>
      <c r="I126" s="1826"/>
      <c r="J126" s="1826"/>
      <c r="K126" s="1826"/>
      <c r="L126" s="1826"/>
      <c r="M126" s="1826"/>
      <c r="N126" s="1826"/>
      <c r="O126" s="1826"/>
      <c r="P126" s="1826"/>
      <c r="S126" s="9"/>
      <c r="V126" s="32"/>
      <c r="W126" s="224"/>
      <c r="X126" s="224"/>
      <c r="Y126" s="225"/>
      <c r="XFD126" s="25"/>
    </row>
    <row r="127" spans="1:26 16384:16384" ht="15" hidden="1" customHeight="1">
      <c r="B127" s="789"/>
      <c r="D127" s="124"/>
      <c r="E127" s="124"/>
      <c r="F127" s="124"/>
      <c r="G127" s="124"/>
      <c r="H127" s="124"/>
      <c r="I127" s="124"/>
      <c r="J127" s="124"/>
      <c r="K127" s="124"/>
      <c r="L127" s="124"/>
      <c r="M127" s="124"/>
      <c r="N127" s="124"/>
      <c r="O127" s="124"/>
      <c r="P127" s="125"/>
      <c r="S127" s="48"/>
      <c r="V127" s="21"/>
      <c r="W127" s="21"/>
      <c r="X127" s="21"/>
      <c r="Y127" s="165"/>
    </row>
    <row r="128" spans="1:26 16384:16384" ht="15" hidden="1" customHeight="1">
      <c r="A128" s="25"/>
      <c r="B128" s="787" t="s">
        <v>8</v>
      </c>
      <c r="C128" s="26"/>
      <c r="D128" s="1813"/>
      <c r="E128" s="1826"/>
      <c r="F128" s="1826"/>
      <c r="G128" s="1826"/>
      <c r="H128" s="1826"/>
      <c r="I128" s="1826"/>
      <c r="J128" s="1826"/>
      <c r="K128" s="1826"/>
      <c r="L128" s="1826"/>
      <c r="M128" s="1826"/>
      <c r="N128" s="1826"/>
      <c r="O128" s="1826"/>
      <c r="P128" s="1826"/>
      <c r="S128" s="48"/>
      <c r="V128" s="32"/>
      <c r="W128" s="224"/>
      <c r="X128" s="224"/>
      <c r="Y128" s="230"/>
      <c r="XFD128" s="25"/>
    </row>
    <row r="129" spans="1:25 16384:16384" ht="15" hidden="1" customHeight="1">
      <c r="A129" s="25"/>
      <c r="B129" s="787"/>
      <c r="C129" s="26"/>
      <c r="D129" s="1826"/>
      <c r="E129" s="1826"/>
      <c r="F129" s="1826"/>
      <c r="G129" s="1826"/>
      <c r="H129" s="1826"/>
      <c r="I129" s="1826"/>
      <c r="J129" s="1826"/>
      <c r="K129" s="1826"/>
      <c r="L129" s="1826"/>
      <c r="M129" s="1826"/>
      <c r="N129" s="1826"/>
      <c r="O129" s="1826"/>
      <c r="P129" s="1826"/>
      <c r="S129" s="9"/>
      <c r="V129" s="32"/>
      <c r="W129" s="224"/>
      <c r="X129" s="224"/>
      <c r="Y129" s="224"/>
      <c r="XFD129" s="25"/>
    </row>
    <row r="130" spans="1:25 16384:16384">
      <c r="B130" s="789"/>
      <c r="S130" s="92"/>
      <c r="W130" s="46"/>
      <c r="X130" s="46"/>
      <c r="Y130" s="223"/>
    </row>
    <row r="131" spans="1:25 16384:16384">
      <c r="B131" s="789"/>
      <c r="S131" s="92"/>
      <c r="W131" s="46"/>
      <c r="X131" s="46"/>
      <c r="Y131" s="223"/>
    </row>
    <row r="132" spans="1:25 16384:16384" ht="15" customHeight="1">
      <c r="B132" s="789"/>
      <c r="S132" s="92"/>
      <c r="W132" s="46"/>
      <c r="X132" s="46"/>
      <c r="Y132" s="223"/>
    </row>
    <row r="133" spans="1:25 16384:16384">
      <c r="B133" s="789"/>
      <c r="M133"/>
      <c r="S133" s="92"/>
      <c r="W133" s="46"/>
      <c r="X133" s="46"/>
      <c r="Y133" s="223"/>
    </row>
    <row r="134" spans="1:25 16384:16384">
      <c r="B134" s="789"/>
      <c r="S134" s="92"/>
      <c r="W134" s="46"/>
      <c r="X134" s="46"/>
      <c r="Y134" s="223"/>
    </row>
    <row r="135" spans="1:25 16384:16384" s="14" customFormat="1" ht="25.4" customHeight="1">
      <c r="B135" s="789"/>
      <c r="C135" s="4"/>
      <c r="D135" s="93"/>
      <c r="I135" s="1811" t="str">
        <f>B6</f>
        <v>Gesellschaft</v>
      </c>
      <c r="J135" s="1811"/>
      <c r="K135" s="1811"/>
      <c r="L135" s="1811"/>
      <c r="M135" s="1811"/>
      <c r="N135" s="1811"/>
      <c r="O135" s="1811"/>
      <c r="P135" s="1811"/>
      <c r="Q135" s="4"/>
      <c r="R135" s="4"/>
      <c r="S135" s="92"/>
      <c r="V135" s="19"/>
      <c r="W135" s="104"/>
      <c r="X135" s="104"/>
      <c r="Y135" s="105"/>
    </row>
    <row r="136" spans="1:25 16384:16384" s="14" customFormat="1" ht="30" customHeight="1">
      <c r="B136" s="789"/>
      <c r="C136" s="4"/>
      <c r="P136" s="4"/>
      <c r="Q136" s="4"/>
      <c r="R136" s="4"/>
      <c r="S136" s="92"/>
      <c r="V136" s="19"/>
      <c r="W136" s="104"/>
      <c r="X136" s="104"/>
      <c r="Y136" s="105"/>
    </row>
    <row r="137" spans="1:25 16384:16384" s="1164" customFormat="1" ht="15" customHeight="1">
      <c r="B137" s="1165"/>
      <c r="C137" s="1166"/>
      <c r="P137" s="1166"/>
      <c r="Q137" s="1166"/>
      <c r="R137" s="1166"/>
      <c r="S137" s="1172"/>
      <c r="V137" s="1167"/>
      <c r="W137" s="1168"/>
      <c r="X137" s="1168"/>
      <c r="Y137" s="1169"/>
    </row>
    <row r="138" spans="1:25 16384:16384" s="1164" customFormat="1" ht="18.5">
      <c r="B138" s="1170"/>
      <c r="C138" s="1171"/>
      <c r="I138" s="1812" t="str">
        <f>D6</f>
        <v>Qualität der Entwicklung</v>
      </c>
      <c r="J138" s="1812"/>
      <c r="K138" s="1812"/>
      <c r="L138" s="1812"/>
      <c r="M138" s="1812"/>
      <c r="N138" s="1812"/>
      <c r="O138" s="1812"/>
      <c r="P138" s="1812"/>
      <c r="Q138" s="1166"/>
      <c r="R138" s="1166"/>
      <c r="S138" s="1172"/>
      <c r="V138" s="1167"/>
      <c r="W138" s="1168"/>
      <c r="X138" s="1168"/>
      <c r="Y138" s="1169"/>
    </row>
    <row r="139" spans="1:25 16384:16384" s="1164" customFormat="1">
      <c r="B139" s="1165"/>
      <c r="C139" s="1166"/>
      <c r="P139" s="1166"/>
      <c r="Q139" s="1166"/>
      <c r="R139" s="1166"/>
      <c r="S139" s="1172"/>
      <c r="V139" s="1167"/>
      <c r="W139" s="1168"/>
      <c r="X139" s="1168"/>
      <c r="Y139" s="1169"/>
    </row>
    <row r="140" spans="1:25 16384:16384" ht="15" customHeight="1">
      <c r="B140" s="789"/>
      <c r="F140" s="169"/>
      <c r="G140" s="169"/>
      <c r="H140" s="169"/>
      <c r="I140" s="169"/>
      <c r="J140" s="169"/>
      <c r="K140" s="169"/>
      <c r="L140" s="169"/>
      <c r="M140" s="169"/>
      <c r="N140" s="169"/>
      <c r="O140" s="169"/>
      <c r="P140" s="169"/>
      <c r="Q140" s="169"/>
      <c r="R140" s="169"/>
      <c r="S140" s="800"/>
      <c r="W140" s="46"/>
      <c r="X140" s="46"/>
      <c r="Y140" s="223"/>
    </row>
    <row r="141" spans="1:25 16384:16384" s="1164" customFormat="1" ht="15" customHeight="1">
      <c r="B141" s="1165">
        <v>1</v>
      </c>
      <c r="C141" s="1173"/>
      <c r="D141" s="1761" t="str">
        <f>Text!C53</f>
        <v>Wurde in der Projektinitialisierung (SIA-Phase 0) das Vorhaben mit der Bauherrschaft auf übergeordnete Leitbilder (Bund, Kanton, Gemeinde, Quartier) überprüft und werden übergeordnete sowie individuelle Ziele festgelegt und in Pflichtenheften verankert?</v>
      </c>
      <c r="E141" s="1761"/>
      <c r="F141" s="1761"/>
      <c r="G141" s="1761"/>
      <c r="H141" s="1761"/>
      <c r="I141" s="1761"/>
      <c r="J141" s="1761"/>
      <c r="K141" s="1761"/>
      <c r="L141" s="1761"/>
      <c r="M141" s="1761"/>
      <c r="N141" s="1761"/>
      <c r="O141" s="1761"/>
      <c r="P141" s="1761"/>
      <c r="Q141" s="166"/>
      <c r="R141" s="166"/>
      <c r="S141" s="801"/>
      <c r="T141" s="1"/>
      <c r="U141" s="1"/>
      <c r="V141" s="1174">
        <f>Text!B53</f>
        <v>111</v>
      </c>
      <c r="W141" s="1174"/>
      <c r="X141" s="1174"/>
      <c r="Y141" s="1175"/>
    </row>
    <row r="142" spans="1:25 16384:16384" s="1164" customFormat="1" ht="15" customHeight="1">
      <c r="B142" s="1165"/>
      <c r="C142" s="1173"/>
      <c r="D142" s="1761"/>
      <c r="E142" s="1761"/>
      <c r="F142" s="1761"/>
      <c r="G142" s="1761"/>
      <c r="H142" s="1761"/>
      <c r="I142" s="1761"/>
      <c r="J142" s="1761"/>
      <c r="K142" s="1761"/>
      <c r="L142" s="1761"/>
      <c r="M142" s="1761"/>
      <c r="N142" s="1761"/>
      <c r="O142" s="1761"/>
      <c r="P142" s="1761"/>
      <c r="Q142" s="1"/>
      <c r="R142" s="1"/>
      <c r="S142" s="9"/>
      <c r="T142" s="1"/>
      <c r="U142" s="1"/>
      <c r="V142" s="1176"/>
      <c r="W142" s="1176"/>
      <c r="X142" s="1176"/>
      <c r="Y142" s="1177"/>
    </row>
    <row r="143" spans="1:25 16384:16384" hidden="1">
      <c r="B143" s="789"/>
      <c r="D143" s="13"/>
      <c r="E143" s="13"/>
      <c r="F143" s="13"/>
      <c r="G143" s="13"/>
      <c r="H143" s="13"/>
      <c r="I143" s="13"/>
      <c r="J143" s="13"/>
      <c r="K143" s="13"/>
      <c r="L143" s="13"/>
      <c r="M143" s="13"/>
      <c r="N143" s="13"/>
      <c r="O143" s="13"/>
      <c r="P143" s="13"/>
      <c r="Q143" s="1"/>
      <c r="R143" s="1"/>
      <c r="S143" s="48"/>
      <c r="V143" s="21"/>
      <c r="W143" s="21"/>
      <c r="X143" s="21"/>
      <c r="Y143" s="165"/>
    </row>
    <row r="144" spans="1:25 16384:16384" s="1164" customFormat="1" ht="29.15" hidden="1" customHeight="1">
      <c r="A144" s="1184"/>
      <c r="B144" s="1179"/>
      <c r="C144" s="1178"/>
      <c r="D144" s="1761" t="str">
        <f>Text!C54</f>
        <v>Wird der Bezug zu übergeordneten Zielsetzungen, Leitbildern oder Planungen gemacht, z. B. des Quartiers, der Gemeinde, des Kantons oder des Bundes gemacht?</v>
      </c>
      <c r="E144" s="1761"/>
      <c r="F144" s="1761"/>
      <c r="G144" s="1761"/>
      <c r="H144" s="1761"/>
      <c r="I144" s="1761"/>
      <c r="J144" s="1761"/>
      <c r="K144" s="1761"/>
      <c r="L144" s="1761"/>
      <c r="M144" s="1761"/>
      <c r="N144" s="1761"/>
      <c r="O144" s="1761"/>
      <c r="P144" s="1761"/>
      <c r="Q144" s="1"/>
      <c r="R144" s="1"/>
      <c r="S144" s="48"/>
      <c r="T144" s="1"/>
      <c r="U144" s="1"/>
      <c r="V144" s="1174"/>
      <c r="W144" s="1176"/>
      <c r="X144" s="1176"/>
      <c r="Y144" s="1177"/>
      <c r="XFD144" s="1184"/>
    </row>
    <row r="145" spans="1:25 16384:16384" s="1164" customFormat="1" ht="15" hidden="1" customHeight="1">
      <c r="B145" s="1179"/>
      <c r="C145" s="1178"/>
      <c r="D145" s="1794" t="str">
        <f>Text!C609</f>
        <v>z. B. Entwicklungskonzepte Stadt/Gemeinde, Gestaltungspläne, regionale oder kantonale Raumordnungskonzepte oder Richtpläne</v>
      </c>
      <c r="E145" s="1794"/>
      <c r="F145" s="1794"/>
      <c r="G145" s="1794"/>
      <c r="H145" s="1794"/>
      <c r="I145" s="1794"/>
      <c r="J145" s="1794"/>
      <c r="K145" s="1794"/>
      <c r="L145" s="1794"/>
      <c r="M145" s="1794"/>
      <c r="N145" s="1794"/>
      <c r="O145" s="1794"/>
      <c r="P145" s="1794"/>
      <c r="Q145" s="1"/>
      <c r="R145" s="1"/>
      <c r="S145" s="9"/>
      <c r="T145" s="1"/>
      <c r="U145" s="1"/>
      <c r="V145" s="1176"/>
      <c r="W145" s="1176"/>
      <c r="X145" s="1176"/>
      <c r="Y145" s="1177"/>
    </row>
    <row r="146" spans="1:25 16384:16384" ht="15" hidden="1" customHeight="1">
      <c r="B146" s="789"/>
      <c r="D146" s="124"/>
      <c r="E146" s="124"/>
      <c r="F146" s="124"/>
      <c r="G146" s="124"/>
      <c r="H146" s="124"/>
      <c r="I146" s="124"/>
      <c r="J146" s="124"/>
      <c r="K146" s="124"/>
      <c r="L146" s="124"/>
      <c r="M146" s="124"/>
      <c r="N146" s="124"/>
      <c r="O146" s="124"/>
      <c r="P146" s="124"/>
      <c r="Q146" s="1"/>
      <c r="R146" s="1"/>
      <c r="S146" s="48"/>
      <c r="V146" s="21"/>
      <c r="W146" s="21"/>
      <c r="X146" s="21"/>
      <c r="Y146" s="165"/>
    </row>
    <row r="147" spans="1:25 16384:16384" s="1164" customFormat="1" ht="15" hidden="1" customHeight="1">
      <c r="A147" s="1184"/>
      <c r="B147" s="1179"/>
      <c r="C147" s="1178"/>
      <c r="D147" s="1761" t="str">
        <f>Text!C55</f>
        <v>Werden mit der Bauherrschaft im Auswahlverfahren (SIA-Phase 2) individuelle (Nachhaltigkeits-)Ziele detailliert festgelegt?</v>
      </c>
      <c r="E147" s="1761"/>
      <c r="F147" s="1761"/>
      <c r="G147" s="1761"/>
      <c r="H147" s="1761"/>
      <c r="I147" s="1761"/>
      <c r="J147" s="1761"/>
      <c r="K147" s="1761"/>
      <c r="L147" s="1761"/>
      <c r="M147" s="1761"/>
      <c r="N147" s="1761"/>
      <c r="O147" s="1761"/>
      <c r="P147" s="1761"/>
      <c r="Q147" s="1"/>
      <c r="R147" s="1"/>
      <c r="S147" s="48"/>
      <c r="T147" s="1"/>
      <c r="U147" s="1"/>
      <c r="V147" s="1174"/>
      <c r="W147" s="1174"/>
      <c r="X147" s="1174"/>
      <c r="Y147" s="1175"/>
      <c r="XFD147" s="1184"/>
    </row>
    <row r="148" spans="1:25 16384:16384" s="1164" customFormat="1" ht="15" hidden="1" customHeight="1">
      <c r="B148" s="1179"/>
      <c r="C148" s="1178"/>
      <c r="D148" s="1761"/>
      <c r="E148" s="1761"/>
      <c r="F148" s="1761"/>
      <c r="G148" s="1761"/>
      <c r="H148" s="1761"/>
      <c r="I148" s="1761"/>
      <c r="J148" s="1761"/>
      <c r="K148" s="1761"/>
      <c r="L148" s="1761"/>
      <c r="M148" s="1761"/>
      <c r="N148" s="1761"/>
      <c r="O148" s="1761"/>
      <c r="P148" s="1761"/>
      <c r="Q148" s="1"/>
      <c r="R148" s="1"/>
      <c r="S148" s="9"/>
      <c r="T148" s="1"/>
      <c r="U148" s="1"/>
      <c r="V148" s="1174"/>
      <c r="W148" s="1174"/>
      <c r="X148" s="1174"/>
      <c r="Y148" s="1175"/>
      <c r="XFD148" s="1184"/>
    </row>
    <row r="149" spans="1:25 16384:16384" ht="15" hidden="1" customHeight="1">
      <c r="B149" s="789"/>
      <c r="D149" s="125"/>
      <c r="E149" s="125"/>
      <c r="F149" s="125"/>
      <c r="G149" s="125"/>
      <c r="H149" s="125"/>
      <c r="I149" s="125"/>
      <c r="J149" s="125"/>
      <c r="K149" s="125"/>
      <c r="L149" s="125"/>
      <c r="M149" s="125"/>
      <c r="N149" s="125"/>
      <c r="O149" s="125"/>
      <c r="P149" s="125"/>
      <c r="Q149" s="1"/>
      <c r="R149" s="1"/>
      <c r="S149" s="48"/>
      <c r="V149" s="23"/>
      <c r="W149" s="23"/>
      <c r="X149" s="23"/>
      <c r="Y149" s="187"/>
      <c r="XFD149" s="140"/>
    </row>
    <row r="150" spans="1:25 16384:16384" s="1164" customFormat="1" ht="15" hidden="1" customHeight="1">
      <c r="A150" s="1184"/>
      <c r="B150" s="1179"/>
      <c r="C150" s="1178"/>
      <c r="D150" s="1761" t="str">
        <f>Text!C56</f>
        <v>Werden die definierten Ziele zu Beginn der SIA-Phase 3 als entsprechende Vereinbarungen in Pflichtenhefte verankert?</v>
      </c>
      <c r="E150" s="1761"/>
      <c r="F150" s="1761"/>
      <c r="G150" s="1761"/>
      <c r="H150" s="1761"/>
      <c r="I150" s="1761"/>
      <c r="J150" s="1761"/>
      <c r="K150" s="1761"/>
      <c r="L150" s="1761"/>
      <c r="M150" s="1761"/>
      <c r="N150" s="1761"/>
      <c r="O150" s="1761"/>
      <c r="P150" s="1761"/>
      <c r="Q150" s="1"/>
      <c r="R150" s="1"/>
      <c r="S150" s="48"/>
      <c r="T150" s="1"/>
      <c r="U150" s="1"/>
      <c r="V150" s="1174"/>
      <c r="W150" s="1174"/>
      <c r="X150" s="1174"/>
      <c r="Y150" s="1175"/>
      <c r="XFD150" s="1184"/>
    </row>
    <row r="151" spans="1:25 16384:16384" s="1164" customFormat="1" ht="15" hidden="1" customHeight="1">
      <c r="B151" s="1179"/>
      <c r="C151" s="1178"/>
      <c r="D151" s="1761"/>
      <c r="E151" s="1761"/>
      <c r="F151" s="1761"/>
      <c r="G151" s="1761"/>
      <c r="H151" s="1761"/>
      <c r="I151" s="1761"/>
      <c r="J151" s="1761"/>
      <c r="K151" s="1761"/>
      <c r="L151" s="1761"/>
      <c r="M151" s="1761"/>
      <c r="N151" s="1761"/>
      <c r="O151" s="1761"/>
      <c r="P151" s="1761"/>
      <c r="Q151" s="1"/>
      <c r="R151" s="1"/>
      <c r="S151" s="9"/>
      <c r="T151" s="1"/>
      <c r="U151" s="1"/>
      <c r="V151" s="1174"/>
      <c r="W151" s="1174"/>
      <c r="X151" s="1174"/>
      <c r="Y151" s="1175"/>
      <c r="XFD151" s="1184"/>
    </row>
    <row r="152" spans="1:25 16384:16384" ht="15" customHeight="1">
      <c r="B152" s="789"/>
      <c r="D152" s="125"/>
      <c r="E152" s="125"/>
      <c r="F152" s="125"/>
      <c r="G152" s="125"/>
      <c r="H152" s="125"/>
      <c r="I152" s="125"/>
      <c r="J152" s="125"/>
      <c r="K152" s="125"/>
      <c r="L152" s="125"/>
      <c r="M152" s="125"/>
      <c r="N152" s="125"/>
      <c r="O152" s="125"/>
      <c r="P152" s="125"/>
      <c r="Q152" s="1"/>
      <c r="R152" s="1"/>
      <c r="S152" s="48"/>
      <c r="V152" s="1"/>
      <c r="Y152" s="1"/>
    </row>
    <row r="153" spans="1:25 16384:16384" s="1164" customFormat="1" ht="15" customHeight="1">
      <c r="A153" s="1184"/>
      <c r="B153" s="1179"/>
      <c r="C153" s="1178"/>
      <c r="D153" s="1761" t="str">
        <f>Text!C57</f>
        <v>Wurde eine spezifische Analyse des Bauvorhabens in Bezug auf den Klimawandel durchgeführt und wurden darauf basierend Ziele zu Klimaschutz und Klimaanpassung im Pflichtenheft verankert?</v>
      </c>
      <c r="E153" s="1761"/>
      <c r="F153" s="1761"/>
      <c r="G153" s="1761"/>
      <c r="H153" s="1761"/>
      <c r="I153" s="1761"/>
      <c r="J153" s="1761"/>
      <c r="K153" s="1761"/>
      <c r="L153" s="1761"/>
      <c r="M153" s="1761"/>
      <c r="N153" s="1761"/>
      <c r="O153" s="1761"/>
      <c r="P153" s="1761"/>
      <c r="Q153" s="124"/>
      <c r="R153" s="1"/>
      <c r="S153" s="48"/>
      <c r="T153" s="1"/>
      <c r="U153" s="1"/>
      <c r="V153" s="1180" t="str">
        <f>Text!B57</f>
        <v>K111</v>
      </c>
      <c r="W153" s="1181"/>
      <c r="X153" s="1181"/>
      <c r="Y153" s="1175"/>
      <c r="XFD153" s="1182"/>
    </row>
    <row r="154" spans="1:25 16384:16384" s="1164" customFormat="1" ht="15" customHeight="1">
      <c r="B154" s="1179"/>
      <c r="C154" s="1178"/>
      <c r="D154" s="1761"/>
      <c r="E154" s="1761"/>
      <c r="F154" s="1761"/>
      <c r="G154" s="1761"/>
      <c r="H154" s="1761"/>
      <c r="I154" s="1761"/>
      <c r="J154" s="1761"/>
      <c r="K154" s="1761"/>
      <c r="L154" s="1761"/>
      <c r="M154" s="1761"/>
      <c r="N154" s="1761"/>
      <c r="O154" s="1761"/>
      <c r="P154" s="1761"/>
      <c r="Q154" s="124"/>
      <c r="R154" s="1"/>
      <c r="S154" s="9"/>
      <c r="T154" s="1"/>
      <c r="U154" s="1"/>
      <c r="V154" s="1176"/>
      <c r="W154" s="1176"/>
      <c r="X154" s="1176"/>
      <c r="Y154" s="1177"/>
    </row>
    <row r="155" spans="1:25 16384:16384" ht="15" hidden="1" customHeight="1">
      <c r="B155" s="789"/>
      <c r="D155" s="124"/>
      <c r="E155" s="124"/>
      <c r="F155" s="124"/>
      <c r="G155" s="124"/>
      <c r="H155" s="124"/>
      <c r="I155" s="124"/>
      <c r="J155" s="124"/>
      <c r="K155" s="124"/>
      <c r="L155" s="124"/>
      <c r="M155" s="124"/>
      <c r="N155" s="124"/>
      <c r="O155" s="124"/>
      <c r="P155" s="124"/>
      <c r="Q155" s="123"/>
      <c r="R155" s="1"/>
      <c r="S155" s="48"/>
      <c r="V155" s="21"/>
      <c r="W155" s="21"/>
      <c r="X155" s="21"/>
      <c r="Y155" s="165"/>
    </row>
    <row r="156" spans="1:25 16384:16384" s="1164" customFormat="1" ht="15" hidden="1" customHeight="1">
      <c r="A156" s="1184"/>
      <c r="B156" s="1179"/>
      <c r="C156" s="1178"/>
      <c r="D156" s="1761" t="str">
        <f>Text!C58</f>
        <v xml:space="preserve">Wurden in der frühen Planungsphase (strategische Planung, Vorstudien) Massnahmen zum Klimaschutz beim Bauvorhaben spezifisch mit Fachplanenden evaluiert? </v>
      </c>
      <c r="E156" s="1761"/>
      <c r="F156" s="1761"/>
      <c r="G156" s="1761"/>
      <c r="H156" s="1761"/>
      <c r="I156" s="1761"/>
      <c r="J156" s="1761"/>
      <c r="K156" s="1761"/>
      <c r="L156" s="1761"/>
      <c r="M156" s="1761"/>
      <c r="N156" s="1761"/>
      <c r="O156" s="1761"/>
      <c r="P156" s="1761"/>
      <c r="Q156" s="1"/>
      <c r="R156" s="1"/>
      <c r="S156" s="48"/>
      <c r="T156" s="1"/>
      <c r="U156" s="1"/>
      <c r="V156" s="1174"/>
      <c r="W156" s="1174"/>
      <c r="X156" s="1174"/>
      <c r="Y156" s="1175"/>
      <c r="XFD156" s="1184"/>
    </row>
    <row r="157" spans="1:25 16384:16384" s="1164" customFormat="1" ht="15" hidden="1" customHeight="1">
      <c r="B157" s="1179"/>
      <c r="C157" s="1178"/>
      <c r="D157" s="1761"/>
      <c r="E157" s="1761"/>
      <c r="F157" s="1761"/>
      <c r="G157" s="1761"/>
      <c r="H157" s="1761"/>
      <c r="I157" s="1761"/>
      <c r="J157" s="1761"/>
      <c r="K157" s="1761"/>
      <c r="L157" s="1761"/>
      <c r="M157" s="1761"/>
      <c r="N157" s="1761"/>
      <c r="O157" s="1761"/>
      <c r="P157" s="1761"/>
      <c r="Q157" s="1"/>
      <c r="R157" s="1"/>
      <c r="S157" s="9"/>
      <c r="T157" s="1"/>
      <c r="U157" s="1"/>
      <c r="V157" s="1174"/>
      <c r="W157" s="1174"/>
      <c r="X157" s="1174"/>
      <c r="Y157" s="1175"/>
      <c r="XFD157" s="1184"/>
    </row>
    <row r="158" spans="1:25 16384:16384" ht="15" hidden="1" customHeight="1">
      <c r="B158" s="789"/>
      <c r="D158" s="124"/>
      <c r="E158" s="124"/>
      <c r="F158" s="124"/>
      <c r="G158" s="124"/>
      <c r="H158" s="124"/>
      <c r="I158" s="124"/>
      <c r="J158" s="124"/>
      <c r="K158" s="124"/>
      <c r="L158" s="124"/>
      <c r="M158" s="124"/>
      <c r="N158" s="124"/>
      <c r="O158" s="124"/>
      <c r="P158" s="124"/>
      <c r="Q158" s="123"/>
      <c r="R158" s="1"/>
      <c r="S158" s="48"/>
      <c r="V158" s="21"/>
      <c r="W158" s="21"/>
      <c r="X158" s="21"/>
      <c r="Y158" s="165"/>
    </row>
    <row r="159" spans="1:25 16384:16384" s="1164" customFormat="1" ht="15" hidden="1" customHeight="1">
      <c r="A159" s="1184"/>
      <c r="B159" s="1179"/>
      <c r="C159" s="1178"/>
      <c r="D159" s="1761" t="str">
        <f>Text!C59</f>
        <v>Wurden in der frühen Planungsphase (strategische Planung) Massnahmen zur Klimaanpas-sung beim Bauvorhaben spezifisch mit Fachplanenden evaluiert?</v>
      </c>
      <c r="E159" s="1761"/>
      <c r="F159" s="1761"/>
      <c r="G159" s="1761"/>
      <c r="H159" s="1761"/>
      <c r="I159" s="1761"/>
      <c r="J159" s="1761"/>
      <c r="K159" s="1761"/>
      <c r="L159" s="1761"/>
      <c r="M159" s="1761"/>
      <c r="N159" s="1761"/>
      <c r="O159" s="1761"/>
      <c r="P159" s="1761"/>
      <c r="Q159" s="1"/>
      <c r="R159" s="1"/>
      <c r="S159" s="48"/>
      <c r="T159" s="1"/>
      <c r="U159" s="1"/>
      <c r="V159" s="1174"/>
      <c r="W159" s="1174"/>
      <c r="X159" s="1174"/>
      <c r="Y159" s="1175"/>
      <c r="XFD159" s="1184"/>
    </row>
    <row r="160" spans="1:25 16384:16384" s="1164" customFormat="1" ht="15" hidden="1" customHeight="1">
      <c r="B160" s="1179"/>
      <c r="C160" s="1178"/>
      <c r="D160" s="1761"/>
      <c r="E160" s="1761"/>
      <c r="F160" s="1761"/>
      <c r="G160" s="1761"/>
      <c r="H160" s="1761"/>
      <c r="I160" s="1761"/>
      <c r="J160" s="1761"/>
      <c r="K160" s="1761"/>
      <c r="L160" s="1761"/>
      <c r="M160" s="1761"/>
      <c r="N160" s="1761"/>
      <c r="O160" s="1761"/>
      <c r="P160" s="1761"/>
      <c r="Q160" s="1"/>
      <c r="R160" s="1"/>
      <c r="S160" s="9"/>
      <c r="T160" s="1"/>
      <c r="U160" s="1"/>
      <c r="V160" s="1174"/>
      <c r="W160" s="1174"/>
      <c r="X160" s="1174"/>
      <c r="Y160" s="1175"/>
      <c r="XFD160" s="1184"/>
    </row>
    <row r="161" spans="1:25 16384:16384" ht="15" hidden="1" customHeight="1">
      <c r="B161" s="789"/>
      <c r="D161" s="124"/>
      <c r="E161" s="124"/>
      <c r="F161" s="124"/>
      <c r="G161" s="124"/>
      <c r="H161" s="124"/>
      <c r="I161" s="124"/>
      <c r="J161" s="124"/>
      <c r="K161" s="124"/>
      <c r="L161" s="124"/>
      <c r="M161" s="124"/>
      <c r="N161" s="124"/>
      <c r="O161" s="124"/>
      <c r="P161" s="124"/>
      <c r="Q161" s="123"/>
      <c r="R161" s="1"/>
      <c r="S161" s="48"/>
      <c r="V161" s="21"/>
      <c r="W161" s="21"/>
      <c r="X161" s="21"/>
      <c r="Y161" s="165"/>
    </row>
    <row r="162" spans="1:25 16384:16384" s="1164" customFormat="1" ht="15" hidden="1" customHeight="1">
      <c r="A162" s="1184"/>
      <c r="B162" s="1179"/>
      <c r="C162" s="1178"/>
      <c r="D162" s="1761" t="str">
        <f>Text!C60</f>
        <v>Sind die evaluierten Ziele zu Klimaschutz und Klimaanpassung als verbindliche Vorgaben in die Pflichtenhefte des Bauvorhabens aufgenommen worden?</v>
      </c>
      <c r="E162" s="1761"/>
      <c r="F162" s="1761"/>
      <c r="G162" s="1761"/>
      <c r="H162" s="1761"/>
      <c r="I162" s="1761"/>
      <c r="J162" s="1761"/>
      <c r="K162" s="1761"/>
      <c r="L162" s="1761"/>
      <c r="M162" s="1761"/>
      <c r="N162" s="1761"/>
      <c r="O162" s="1761"/>
      <c r="P162" s="1761"/>
      <c r="Q162" s="1"/>
      <c r="R162" s="1"/>
      <c r="S162" s="48"/>
      <c r="T162" s="1"/>
      <c r="U162" s="1"/>
      <c r="V162" s="1174"/>
      <c r="W162" s="1174"/>
      <c r="X162" s="1174"/>
      <c r="Y162" s="1175"/>
      <c r="XFD162" s="1184"/>
    </row>
    <row r="163" spans="1:25 16384:16384" s="1164" customFormat="1" ht="15" hidden="1" customHeight="1">
      <c r="B163" s="1179"/>
      <c r="C163" s="1178"/>
      <c r="D163" s="1761"/>
      <c r="E163" s="1761"/>
      <c r="F163" s="1761"/>
      <c r="G163" s="1761"/>
      <c r="H163" s="1761"/>
      <c r="I163" s="1761"/>
      <c r="J163" s="1761"/>
      <c r="K163" s="1761"/>
      <c r="L163" s="1761"/>
      <c r="M163" s="1761"/>
      <c r="N163" s="1761"/>
      <c r="O163" s="1761"/>
      <c r="P163" s="1761"/>
      <c r="Q163" s="1"/>
      <c r="R163" s="1"/>
      <c r="S163" s="9"/>
      <c r="T163" s="1"/>
      <c r="U163" s="1"/>
      <c r="V163" s="1174"/>
      <c r="W163" s="1174"/>
      <c r="X163" s="1174"/>
      <c r="Y163" s="1175"/>
      <c r="XFD163" s="1184"/>
    </row>
    <row r="164" spans="1:25 16384:16384" ht="15" customHeight="1">
      <c r="B164" s="789"/>
      <c r="D164" s="124"/>
      <c r="E164" s="124"/>
      <c r="F164" s="124"/>
      <c r="G164" s="124"/>
      <c r="H164" s="124"/>
      <c r="I164" s="124"/>
      <c r="J164" s="124"/>
      <c r="K164" s="124"/>
      <c r="L164" s="124"/>
      <c r="M164" s="124"/>
      <c r="N164" s="124"/>
      <c r="O164" s="124"/>
      <c r="P164" s="124"/>
      <c r="Q164" s="1"/>
      <c r="R164" s="1"/>
      <c r="S164" s="48"/>
      <c r="V164" s="21"/>
      <c r="W164" s="21"/>
      <c r="X164" s="21"/>
      <c r="Y164" s="165"/>
    </row>
    <row r="165" spans="1:25 16384:16384" ht="15" customHeight="1">
      <c r="B165" s="789"/>
      <c r="S165" s="92"/>
      <c r="V165" s="21"/>
      <c r="W165" s="21"/>
      <c r="X165" s="21"/>
      <c r="Y165" s="165"/>
    </row>
    <row r="166" spans="1:25 16384:16384" s="1164" customFormat="1" ht="45" customHeight="1">
      <c r="A166" s="1184"/>
      <c r="B166" s="1179"/>
      <c r="C166" s="1178"/>
      <c r="D166" s="1761" t="str">
        <f>Text!C61</f>
        <v xml:space="preserve">Wird das Projekt im Rahmen eines Wettbewerbs oder einem Studienauftrag mit Planerwahlverfahren erarbeitet? (im Idealfall gemäss Ordnung SIA 142 oder 143) (Wettbewerb nach SIA 142:2009 ''Ordnung für Architektur- und Ingenieurwettbewerbe'', Studienauftrag nach SIA 143:2009 ''Ordnung für Architektur- und Ingenieurstudienaufträge'')     </v>
      </c>
      <c r="E166" s="1761"/>
      <c r="F166" s="1761"/>
      <c r="G166" s="1761"/>
      <c r="H166" s="1761"/>
      <c r="I166" s="1761"/>
      <c r="J166" s="1761"/>
      <c r="K166" s="1761"/>
      <c r="L166" s="1761"/>
      <c r="M166" s="1761"/>
      <c r="N166" s="1761"/>
      <c r="O166" s="1761"/>
      <c r="P166" s="1761"/>
      <c r="Q166" s="1"/>
      <c r="R166" s="1"/>
      <c r="S166" s="48"/>
      <c r="T166" s="1"/>
      <c r="U166" s="1"/>
      <c r="V166" s="1174">
        <f>Text!B61</f>
        <v>112</v>
      </c>
      <c r="W166" s="1174"/>
      <c r="X166" s="1174"/>
      <c r="Y166" s="1183" t="str">
        <f>Text!C$23</f>
        <v>Info [2] &amp; [4]</v>
      </c>
    </row>
    <row r="167" spans="1:25 16384:16384" s="1164" customFormat="1" ht="15" customHeight="1">
      <c r="B167" s="1179"/>
      <c r="C167" s="1178"/>
      <c r="D167" s="1814" t="str">
        <f>Text!C610</f>
        <v>SIA 142:2009 «Ordnung für Architektur- und Ingenieurwettbewerbe», SIA 143:2009 «Ordnung für Architektur- und Ingenieurstudienaufträge»</v>
      </c>
      <c r="E167" s="1814"/>
      <c r="F167" s="1814"/>
      <c r="G167" s="1814"/>
      <c r="H167" s="1814"/>
      <c r="I167" s="1814"/>
      <c r="J167" s="1814"/>
      <c r="K167" s="1814"/>
      <c r="L167" s="1814"/>
      <c r="M167" s="1814"/>
      <c r="N167" s="1814"/>
      <c r="O167" s="1814"/>
      <c r="P167" s="1814"/>
      <c r="Q167" s="1"/>
      <c r="R167" s="1"/>
      <c r="S167" s="9"/>
      <c r="T167" s="1"/>
      <c r="U167" s="1"/>
      <c r="V167" s="1174"/>
      <c r="W167" s="1174"/>
      <c r="X167" s="1174"/>
      <c r="Y167" s="1175"/>
    </row>
    <row r="168" spans="1:25 16384:16384" ht="15" hidden="1" customHeight="1">
      <c r="B168" s="789"/>
      <c r="D168" s="124"/>
      <c r="E168" s="124"/>
      <c r="F168" s="124"/>
      <c r="G168" s="124"/>
      <c r="H168" s="124"/>
      <c r="I168" s="124"/>
      <c r="J168" s="124"/>
      <c r="K168" s="124"/>
      <c r="L168" s="124"/>
      <c r="M168" s="124"/>
      <c r="N168" s="124"/>
      <c r="O168" s="124"/>
      <c r="P168" s="124"/>
      <c r="Q168" s="1"/>
      <c r="R168" s="1"/>
      <c r="S168" s="48"/>
      <c r="V168" s="21"/>
      <c r="W168" s="21"/>
      <c r="X168" s="21"/>
      <c r="Y168" s="165"/>
    </row>
    <row r="169" spans="1:25 16384:16384" s="1164" customFormat="1" ht="15" hidden="1" customHeight="1">
      <c r="A169" s="1184"/>
      <c r="B169" s="1179"/>
      <c r="C169" s="1178"/>
      <c r="D169" s="1761" t="str">
        <f>Text!C62</f>
        <v>Wurde ein Planerwahlverfahren durchgeführt? (Im Idealfall gemäss Ordnung SIA 144)</v>
      </c>
      <c r="E169" s="1761"/>
      <c r="F169" s="1761"/>
      <c r="G169" s="1761"/>
      <c r="H169" s="1761"/>
      <c r="I169" s="1761"/>
      <c r="J169" s="1761"/>
      <c r="K169" s="1761"/>
      <c r="L169" s="1761"/>
      <c r="M169" s="1761"/>
      <c r="N169" s="1761"/>
      <c r="O169" s="1761"/>
      <c r="P169" s="1761"/>
      <c r="Q169" s="1"/>
      <c r="R169" s="1"/>
      <c r="S169" s="48"/>
      <c r="T169" s="1"/>
      <c r="U169" s="1"/>
      <c r="V169" s="1174"/>
      <c r="W169" s="1176"/>
      <c r="X169" s="1176"/>
      <c r="Y169" s="1183" t="str">
        <f>Text!C11</f>
        <v>Info [2]</v>
      </c>
    </row>
    <row r="170" spans="1:25 16384:16384" s="1164" customFormat="1" ht="15" hidden="1" customHeight="1">
      <c r="B170" s="1179"/>
      <c r="C170" s="1178"/>
      <c r="D170" s="1814" t="str">
        <f>Text!C611</f>
        <v>SIA 144:2013 «Ordnung für Ingenieur- und Architekturleistungsofferten»</v>
      </c>
      <c r="E170" s="1814"/>
      <c r="F170" s="1814"/>
      <c r="G170" s="1814"/>
      <c r="H170" s="1814"/>
      <c r="I170" s="1814"/>
      <c r="J170" s="1814"/>
      <c r="K170" s="1814"/>
      <c r="L170" s="1814"/>
      <c r="M170" s="1814"/>
      <c r="N170" s="1814"/>
      <c r="O170" s="1814"/>
      <c r="P170" s="1814"/>
      <c r="Q170" s="1"/>
      <c r="R170" s="1"/>
      <c r="S170" s="9"/>
      <c r="T170" s="1"/>
      <c r="U170" s="1"/>
      <c r="V170" s="1176"/>
      <c r="W170" s="1176"/>
      <c r="X170" s="1176"/>
      <c r="Y170" s="1177"/>
    </row>
    <row r="171" spans="1:25 16384:16384" ht="15" hidden="1" customHeight="1">
      <c r="B171" s="789"/>
      <c r="D171" s="124"/>
      <c r="E171" s="124"/>
      <c r="F171" s="124"/>
      <c r="G171" s="124"/>
      <c r="H171" s="124"/>
      <c r="I171" s="124"/>
      <c r="J171" s="124"/>
      <c r="K171" s="124"/>
      <c r="L171" s="124"/>
      <c r="M171" s="124"/>
      <c r="N171" s="124"/>
      <c r="O171" s="124"/>
      <c r="P171" s="124"/>
      <c r="Q171" s="1"/>
      <c r="R171" s="1"/>
      <c r="S171" s="48"/>
      <c r="V171" s="21"/>
      <c r="W171" s="21"/>
      <c r="X171" s="21"/>
      <c r="Y171" s="165"/>
    </row>
    <row r="172" spans="1:25 16384:16384" s="1164" customFormat="1" ht="15" hidden="1" customHeight="1">
      <c r="A172" s="1184"/>
      <c r="B172" s="1179"/>
      <c r="C172" s="1178"/>
      <c r="D172" s="1761" t="str">
        <f>Text!C63</f>
        <v>Ist eine hohe architektonische und städtebauliche Qualität durch den Beizug von qualifizierten Fachleuten gewährleistet bzw. vorhanden?</v>
      </c>
      <c r="E172" s="1761"/>
      <c r="F172" s="1761"/>
      <c r="G172" s="1761"/>
      <c r="H172" s="1761"/>
      <c r="I172" s="1761"/>
      <c r="J172" s="1761"/>
      <c r="K172" s="1761"/>
      <c r="L172" s="1761"/>
      <c r="M172" s="1761"/>
      <c r="N172" s="1761"/>
      <c r="O172" s="1761"/>
      <c r="P172" s="1761"/>
      <c r="Q172" s="1"/>
      <c r="R172" s="1"/>
      <c r="S172" s="48"/>
      <c r="T172" s="1"/>
      <c r="U172" s="1"/>
      <c r="V172" s="1174"/>
      <c r="W172" s="1174"/>
      <c r="X172" s="1174"/>
      <c r="Y172" s="1175"/>
      <c r="XFD172" s="1184"/>
    </row>
    <row r="173" spans="1:25 16384:16384" s="1164" customFormat="1" ht="15" hidden="1" customHeight="1">
      <c r="B173" s="1179"/>
      <c r="C173" s="1178"/>
      <c r="D173" s="1761"/>
      <c r="E173" s="1761"/>
      <c r="F173" s="1761"/>
      <c r="G173" s="1761"/>
      <c r="H173" s="1761"/>
      <c r="I173" s="1761"/>
      <c r="J173" s="1761"/>
      <c r="K173" s="1761"/>
      <c r="L173" s="1761"/>
      <c r="M173" s="1761"/>
      <c r="N173" s="1761"/>
      <c r="O173" s="1761"/>
      <c r="P173" s="1761"/>
      <c r="Q173" s="1"/>
      <c r="R173" s="1"/>
      <c r="S173" s="9"/>
      <c r="T173" s="1"/>
      <c r="U173" s="1"/>
      <c r="V173" s="1174"/>
      <c r="W173" s="1174"/>
      <c r="X173" s="1174"/>
      <c r="Y173" s="1175"/>
      <c r="XFD173" s="1184"/>
    </row>
    <row r="174" spans="1:25 16384:16384" ht="15" hidden="1" customHeight="1">
      <c r="B174" s="789"/>
      <c r="D174" s="124"/>
      <c r="E174" s="124"/>
      <c r="F174" s="124"/>
      <c r="G174" s="124"/>
      <c r="H174" s="124"/>
      <c r="I174" s="124"/>
      <c r="J174" s="124"/>
      <c r="K174" s="124"/>
      <c r="L174" s="124"/>
      <c r="M174" s="124"/>
      <c r="N174" s="124"/>
      <c r="O174" s="124"/>
      <c r="P174" s="124"/>
      <c r="Q174" s="1"/>
      <c r="R174" s="1"/>
      <c r="S174" s="48"/>
      <c r="V174" s="21"/>
      <c r="W174" s="21"/>
      <c r="X174" s="21"/>
      <c r="Y174" s="165"/>
    </row>
    <row r="175" spans="1:25 16384:16384" s="1164" customFormat="1" ht="15" hidden="1" customHeight="1">
      <c r="A175" s="1184"/>
      <c r="B175" s="1179"/>
      <c r="C175" s="1178"/>
      <c r="D175" s="1761" t="str">
        <f>Text!C64</f>
        <v>Zeichnet sich das Gebäude durch eine hohe Funktionalität aus, z. B. durch die Zweckmässigkeit der Raumorganisation und Eignung für die vorgesehene Nutzung?</v>
      </c>
      <c r="E175" s="1761"/>
      <c r="F175" s="1761"/>
      <c r="G175" s="1761"/>
      <c r="H175" s="1761"/>
      <c r="I175" s="1761"/>
      <c r="J175" s="1761"/>
      <c r="K175" s="1761"/>
      <c r="L175" s="1761"/>
      <c r="M175" s="1761"/>
      <c r="N175" s="1761"/>
      <c r="O175" s="1761"/>
      <c r="P175" s="1761"/>
      <c r="Q175" s="1"/>
      <c r="R175" s="1"/>
      <c r="S175" s="48"/>
      <c r="T175" s="1"/>
      <c r="U175" s="1"/>
      <c r="V175" s="1174"/>
      <c r="W175" s="1174"/>
      <c r="X175" s="1174"/>
      <c r="Y175" s="1175"/>
      <c r="XFD175" s="1184"/>
    </row>
    <row r="176" spans="1:25 16384:16384" s="1164" customFormat="1" ht="15" hidden="1" customHeight="1">
      <c r="B176" s="1179"/>
      <c r="C176" s="1178"/>
      <c r="D176" s="1761"/>
      <c r="E176" s="1761"/>
      <c r="F176" s="1761"/>
      <c r="G176" s="1761"/>
      <c r="H176" s="1761"/>
      <c r="I176" s="1761"/>
      <c r="J176" s="1761"/>
      <c r="K176" s="1761"/>
      <c r="L176" s="1761"/>
      <c r="M176" s="1761"/>
      <c r="N176" s="1761"/>
      <c r="O176" s="1761"/>
      <c r="P176" s="1761"/>
      <c r="Q176" s="1"/>
      <c r="R176" s="1"/>
      <c r="S176" s="9"/>
      <c r="T176" s="1"/>
      <c r="U176" s="1"/>
      <c r="V176" s="1174"/>
      <c r="W176" s="1174"/>
      <c r="X176" s="1174"/>
      <c r="Y176" s="1175"/>
      <c r="XFD176" s="1184"/>
    </row>
    <row r="177" spans="1:25 16384:16384" ht="15" customHeight="1">
      <c r="B177" s="789"/>
      <c r="D177" s="124"/>
      <c r="E177" s="124"/>
      <c r="F177" s="124"/>
      <c r="G177" s="124"/>
      <c r="H177" s="124"/>
      <c r="I177" s="124"/>
      <c r="J177" s="124"/>
      <c r="K177" s="124"/>
      <c r="L177" s="124"/>
      <c r="M177" s="124"/>
      <c r="N177" s="124"/>
      <c r="O177" s="124"/>
      <c r="P177" s="125"/>
      <c r="S177" s="48"/>
      <c r="V177" s="21"/>
      <c r="W177" s="21"/>
      <c r="X177" s="21"/>
      <c r="Y177" s="165"/>
    </row>
    <row r="178" spans="1:25 16384:16384" s="1164" customFormat="1" ht="15" customHeight="1">
      <c r="A178" s="1184"/>
      <c r="B178" s="1179"/>
      <c r="C178" s="1178"/>
      <c r="D178" s="1761" t="str">
        <f>Text!C65</f>
        <v>Wurden beim Bauvorhaben städtebauliche und architektonische Aspekte im Zusammenhang mit dem Klimawandel (z. B. Gebäudestellung zur Windrichtung) explizit berücksichtigt und Vorgaben dazu befolgt?</v>
      </c>
      <c r="E178" s="1761"/>
      <c r="F178" s="1761"/>
      <c r="G178" s="1761"/>
      <c r="H178" s="1761"/>
      <c r="I178" s="1761"/>
      <c r="J178" s="1761"/>
      <c r="K178" s="1761"/>
      <c r="L178" s="1761"/>
      <c r="M178" s="1761"/>
      <c r="N178" s="1761"/>
      <c r="O178" s="1761"/>
      <c r="P178" s="1761"/>
      <c r="Q178" s="4"/>
      <c r="R178" s="4"/>
      <c r="S178" s="48"/>
      <c r="T178" s="1"/>
      <c r="U178" s="1"/>
      <c r="V178" s="1174" t="str">
        <f>Text!B65</f>
        <v>K112a</v>
      </c>
      <c r="W178" s="1176"/>
      <c r="X178" s="1176"/>
      <c r="Y178" s="1183"/>
    </row>
    <row r="179" spans="1:25 16384:16384" s="1164" customFormat="1" ht="15" customHeight="1">
      <c r="B179" s="1179"/>
      <c r="C179" s="1178"/>
      <c r="D179" s="1761"/>
      <c r="E179" s="1761"/>
      <c r="F179" s="1761"/>
      <c r="G179" s="1761"/>
      <c r="H179" s="1761"/>
      <c r="I179" s="1761"/>
      <c r="J179" s="1761"/>
      <c r="K179" s="1761"/>
      <c r="L179" s="1761"/>
      <c r="M179" s="1761"/>
      <c r="N179" s="1761"/>
      <c r="O179" s="1761"/>
      <c r="P179" s="1761"/>
      <c r="Q179" s="1"/>
      <c r="R179" s="1"/>
      <c r="S179" s="9"/>
      <c r="T179" s="1"/>
      <c r="U179" s="1"/>
      <c r="V179" s="1176"/>
      <c r="W179" s="1176"/>
      <c r="X179" s="1176"/>
      <c r="Y179" s="1177"/>
    </row>
    <row r="180" spans="1:25 16384:16384" ht="15" hidden="1" customHeight="1">
      <c r="B180" s="789"/>
      <c r="D180" s="125"/>
      <c r="E180" s="125"/>
      <c r="F180" s="125"/>
      <c r="G180" s="125"/>
      <c r="H180" s="125"/>
      <c r="I180" s="125"/>
      <c r="J180" s="125"/>
      <c r="K180" s="125"/>
      <c r="L180" s="125"/>
      <c r="M180" s="125"/>
      <c r="N180" s="125"/>
      <c r="O180" s="125"/>
      <c r="P180" s="125"/>
      <c r="Q180" s="1"/>
      <c r="R180" s="1"/>
      <c r="S180" s="48"/>
      <c r="V180" s="1"/>
      <c r="Y180" s="1"/>
    </row>
    <row r="181" spans="1:25 16384:16384" s="1164" customFormat="1" ht="15" hidden="1" customHeight="1">
      <c r="A181" s="1184"/>
      <c r="B181" s="1179"/>
      <c r="C181" s="1178"/>
      <c r="D181" s="1761" t="str">
        <f>Text!C66</f>
        <v>Werden Windrichtung und Luftströme im städtebaulichen Kontext analysiert?</v>
      </c>
      <c r="E181" s="1761"/>
      <c r="F181" s="1761"/>
      <c r="G181" s="1761"/>
      <c r="H181" s="1761"/>
      <c r="I181" s="1761"/>
      <c r="J181" s="1761"/>
      <c r="K181" s="1761"/>
      <c r="L181" s="1761"/>
      <c r="M181" s="1761"/>
      <c r="N181" s="1761"/>
      <c r="O181" s="1761"/>
      <c r="P181" s="1761"/>
      <c r="Q181" s="1"/>
      <c r="R181" s="1"/>
      <c r="S181" s="48"/>
      <c r="T181" s="1"/>
      <c r="U181" s="1"/>
      <c r="V181" s="1174"/>
      <c r="W181" s="1174"/>
      <c r="X181" s="1174"/>
      <c r="Y181" s="1175"/>
      <c r="XFD181" s="1184"/>
    </row>
    <row r="182" spans="1:25 16384:16384" s="1164" customFormat="1" ht="15" hidden="1" customHeight="1">
      <c r="B182" s="1179"/>
      <c r="C182" s="1178"/>
      <c r="D182" s="1761"/>
      <c r="E182" s="1761"/>
      <c r="F182" s="1761"/>
      <c r="G182" s="1761"/>
      <c r="H182" s="1761"/>
      <c r="I182" s="1761"/>
      <c r="J182" s="1761"/>
      <c r="K182" s="1761"/>
      <c r="L182" s="1761"/>
      <c r="M182" s="1761"/>
      <c r="N182" s="1761"/>
      <c r="O182" s="1761"/>
      <c r="P182" s="1761"/>
      <c r="Q182" s="1"/>
      <c r="R182" s="1"/>
      <c r="S182" s="9"/>
      <c r="T182" s="1"/>
      <c r="U182" s="1"/>
      <c r="V182" s="1174"/>
      <c r="W182" s="1174"/>
      <c r="X182" s="1174"/>
      <c r="Y182" s="1175"/>
      <c r="XFD182" s="1184"/>
    </row>
    <row r="183" spans="1:25 16384:16384" ht="15" hidden="1" customHeight="1">
      <c r="B183" s="789"/>
      <c r="D183" s="124"/>
      <c r="E183" s="124"/>
      <c r="F183" s="124"/>
      <c r="G183" s="124"/>
      <c r="H183" s="124"/>
      <c r="I183" s="124"/>
      <c r="J183" s="124"/>
      <c r="K183" s="124"/>
      <c r="L183" s="124"/>
      <c r="M183" s="124"/>
      <c r="N183" s="124"/>
      <c r="O183" s="124"/>
      <c r="P183" s="124"/>
      <c r="Q183" s="123"/>
      <c r="R183" s="1"/>
      <c r="S183" s="48"/>
      <c r="V183" s="21"/>
      <c r="W183" s="21"/>
      <c r="X183" s="21"/>
      <c r="Y183" s="165"/>
    </row>
    <row r="184" spans="1:25 16384:16384" s="1164" customFormat="1" ht="15" hidden="1" customHeight="1">
      <c r="A184" s="1184"/>
      <c r="B184" s="1179"/>
      <c r="C184" s="1178"/>
      <c r="D184" s="1761" t="str">
        <f>Text!C67</f>
        <v>Werden die Potentiale zur stadtklimatischen Nutzung von nahegelegenen Wäldern und Grünflächen analysiert?</v>
      </c>
      <c r="E184" s="1761"/>
      <c r="F184" s="1761"/>
      <c r="G184" s="1761"/>
      <c r="H184" s="1761"/>
      <c r="I184" s="1761"/>
      <c r="J184" s="1761"/>
      <c r="K184" s="1761"/>
      <c r="L184" s="1761"/>
      <c r="M184" s="1761"/>
      <c r="N184" s="1761"/>
      <c r="O184" s="1761"/>
      <c r="P184" s="1761"/>
      <c r="Q184" s="1"/>
      <c r="R184" s="1"/>
      <c r="S184" s="48"/>
      <c r="T184" s="1"/>
      <c r="U184" s="1"/>
      <c r="V184" s="1174"/>
      <c r="W184" s="1174"/>
      <c r="X184" s="1174"/>
      <c r="Y184" s="1175"/>
      <c r="XFD184" s="1184"/>
    </row>
    <row r="185" spans="1:25 16384:16384" s="1164" customFormat="1" ht="15" hidden="1" customHeight="1">
      <c r="B185" s="1179"/>
      <c r="C185" s="1178"/>
      <c r="D185" s="1761"/>
      <c r="E185" s="1761"/>
      <c r="F185" s="1761"/>
      <c r="G185" s="1761"/>
      <c r="H185" s="1761"/>
      <c r="I185" s="1761"/>
      <c r="J185" s="1761"/>
      <c r="K185" s="1761"/>
      <c r="L185" s="1761"/>
      <c r="M185" s="1761"/>
      <c r="N185" s="1761"/>
      <c r="O185" s="1761"/>
      <c r="P185" s="1761"/>
      <c r="Q185" s="1"/>
      <c r="R185" s="1"/>
      <c r="S185" s="9"/>
      <c r="T185" s="1"/>
      <c r="U185" s="1"/>
      <c r="V185" s="1174"/>
      <c r="W185" s="1174"/>
      <c r="X185" s="1174"/>
      <c r="Y185" s="1175"/>
      <c r="XFD185" s="1184"/>
    </row>
    <row r="186" spans="1:25 16384:16384" ht="15" hidden="1" customHeight="1">
      <c r="B186" s="789"/>
      <c r="D186" s="124"/>
      <c r="E186" s="124"/>
      <c r="F186" s="124"/>
      <c r="G186" s="124"/>
      <c r="H186" s="124"/>
      <c r="I186" s="124"/>
      <c r="J186" s="124"/>
      <c r="K186" s="124"/>
      <c r="L186" s="124"/>
      <c r="M186" s="124"/>
      <c r="N186" s="124"/>
      <c r="O186" s="124"/>
      <c r="P186" s="124"/>
      <c r="Q186" s="123"/>
      <c r="R186" s="1"/>
      <c r="S186" s="48"/>
      <c r="V186" s="21"/>
      <c r="W186" s="21"/>
      <c r="X186" s="21"/>
      <c r="Y186" s="165"/>
    </row>
    <row r="187" spans="1:25 16384:16384" s="1164" customFormat="1" ht="15" hidden="1" customHeight="1">
      <c r="A187" s="1184"/>
      <c r="B187" s="1179"/>
      <c r="C187" s="1178"/>
      <c r="D187" s="1761" t="str">
        <f>Text!C68</f>
        <v>Tragen die Anordnung der Gebäudegeometrie und die Umgebungsplanung zur Bildung von Kaltluftschneisen und Grünkorridoren bei?</v>
      </c>
      <c r="E187" s="1761"/>
      <c r="F187" s="1761"/>
      <c r="G187" s="1761"/>
      <c r="H187" s="1761"/>
      <c r="I187" s="1761"/>
      <c r="J187" s="1761"/>
      <c r="K187" s="1761"/>
      <c r="L187" s="1761"/>
      <c r="M187" s="1761"/>
      <c r="N187" s="1761"/>
      <c r="O187" s="1761"/>
      <c r="P187" s="1761"/>
      <c r="Q187" s="1"/>
      <c r="R187" s="1"/>
      <c r="S187" s="48"/>
      <c r="T187" s="1"/>
      <c r="U187" s="1"/>
      <c r="V187" s="1174"/>
      <c r="W187" s="1174"/>
      <c r="X187" s="1174"/>
      <c r="Y187" s="1175"/>
      <c r="XFD187" s="1184"/>
    </row>
    <row r="188" spans="1:25 16384:16384" s="1164" customFormat="1" ht="15" hidden="1" customHeight="1">
      <c r="B188" s="1179"/>
      <c r="C188" s="1178"/>
      <c r="D188" s="1761"/>
      <c r="E188" s="1761"/>
      <c r="F188" s="1761"/>
      <c r="G188" s="1761"/>
      <c r="H188" s="1761"/>
      <c r="I188" s="1761"/>
      <c r="J188" s="1761"/>
      <c r="K188" s="1761"/>
      <c r="L188" s="1761"/>
      <c r="M188" s="1761"/>
      <c r="N188" s="1761"/>
      <c r="O188" s="1761"/>
      <c r="P188" s="1761"/>
      <c r="Q188" s="1"/>
      <c r="R188" s="1"/>
      <c r="S188" s="9"/>
      <c r="T188" s="1"/>
      <c r="U188" s="1"/>
      <c r="V188" s="1174"/>
      <c r="W188" s="1174"/>
      <c r="X188" s="1174"/>
      <c r="Y188" s="1175"/>
      <c r="XFD188" s="1184"/>
    </row>
    <row r="189" spans="1:25 16384:16384" ht="15" customHeight="1">
      <c r="B189" s="789"/>
      <c r="D189" s="124"/>
      <c r="E189" s="124"/>
      <c r="F189" s="124"/>
      <c r="G189" s="124"/>
      <c r="H189" s="124"/>
      <c r="I189" s="124"/>
      <c r="J189" s="124"/>
      <c r="K189" s="124"/>
      <c r="L189" s="124"/>
      <c r="M189" s="124"/>
      <c r="N189" s="124"/>
      <c r="O189" s="124"/>
      <c r="P189" s="124"/>
      <c r="Q189" s="123"/>
      <c r="R189" s="1"/>
      <c r="S189" s="48"/>
      <c r="V189" s="21"/>
      <c r="W189" s="21"/>
      <c r="X189" s="21"/>
      <c r="Y189" s="165"/>
    </row>
    <row r="190" spans="1:25 16384:16384" s="1164" customFormat="1" ht="15" customHeight="1">
      <c r="A190" s="1184"/>
      <c r="B190" s="1179"/>
      <c r="C190" s="1178"/>
      <c r="D190" s="1761" t="str">
        <f>Text!C69</f>
        <v xml:space="preserve">Zeigt die Bauherrschaft durch die Vorgabe eines CO2-Ziels sowie eines flexiblen Raumprogramms Offenheit für innovative Architekturlösungen, die klimarelevante Verbesserungen fördern, und werden im Planerwahlverfahren die Themen des Klimawandels berücksichtigt? </v>
      </c>
      <c r="E190" s="1761"/>
      <c r="F190" s="1761"/>
      <c r="G190" s="1761"/>
      <c r="H190" s="1761"/>
      <c r="I190" s="1761"/>
      <c r="J190" s="1761"/>
      <c r="K190" s="1761"/>
      <c r="L190" s="1761"/>
      <c r="M190" s="1761"/>
      <c r="N190" s="1761"/>
      <c r="O190" s="1761"/>
      <c r="P190" s="1761"/>
      <c r="Q190" s="124"/>
      <c r="R190" s="1"/>
      <c r="S190" s="48"/>
      <c r="T190" s="1"/>
      <c r="U190" s="1"/>
      <c r="V190" s="1176" t="str">
        <f>Text!B69</f>
        <v>K112b</v>
      </c>
      <c r="W190" s="1176"/>
      <c r="X190" s="1176"/>
      <c r="Y190" s="1177"/>
    </row>
    <row r="191" spans="1:25 16384:16384" s="1164" customFormat="1" ht="30" customHeight="1">
      <c r="B191" s="1179"/>
      <c r="C191" s="1178"/>
      <c r="D191" s="1761"/>
      <c r="E191" s="1761"/>
      <c r="F191" s="1761"/>
      <c r="G191" s="1761"/>
      <c r="H191" s="1761"/>
      <c r="I191" s="1761"/>
      <c r="J191" s="1761"/>
      <c r="K191" s="1761"/>
      <c r="L191" s="1761"/>
      <c r="M191" s="1761"/>
      <c r="N191" s="1761"/>
      <c r="O191" s="1761"/>
      <c r="P191" s="1761"/>
      <c r="Q191" s="124"/>
      <c r="R191" s="1"/>
      <c r="S191" s="9"/>
      <c r="T191" s="1"/>
      <c r="U191" s="1"/>
      <c r="V191" s="1176"/>
      <c r="W191" s="1176"/>
      <c r="X191" s="1176"/>
      <c r="Y191" s="1177"/>
    </row>
    <row r="192" spans="1:25 16384:16384" ht="15" hidden="1" customHeight="1">
      <c r="B192" s="789"/>
      <c r="D192" s="124"/>
      <c r="E192" s="124"/>
      <c r="F192" s="124"/>
      <c r="G192" s="124"/>
      <c r="H192" s="124"/>
      <c r="I192" s="124"/>
      <c r="J192" s="124"/>
      <c r="K192" s="124"/>
      <c r="L192" s="124"/>
      <c r="M192" s="124"/>
      <c r="N192" s="124"/>
      <c r="O192" s="124"/>
      <c r="P192" s="125"/>
      <c r="S192" s="48"/>
      <c r="V192" s="21"/>
      <c r="W192" s="21"/>
      <c r="X192" s="21"/>
      <c r="Y192" s="165"/>
    </row>
    <row r="193" spans="1:25 16384:16384" s="1164" customFormat="1" ht="15" hidden="1" customHeight="1">
      <c r="A193" s="1184"/>
      <c r="B193" s="1179"/>
      <c r="C193" s="1178"/>
      <c r="D193" s="1761" t="str">
        <f>Text!C70</f>
        <v>Wurde ein flexibles Raumprogramm als Basis vorgegeben, das klimarelevante Innovationen und suffiziente Lösungen nicht durch starre Vorgaben einschränkt?</v>
      </c>
      <c r="E193" s="1761"/>
      <c r="F193" s="1761"/>
      <c r="G193" s="1761"/>
      <c r="H193" s="1761"/>
      <c r="I193" s="1761"/>
      <c r="J193" s="1761"/>
      <c r="K193" s="1761"/>
      <c r="L193" s="1761"/>
      <c r="M193" s="1761"/>
      <c r="N193" s="1761"/>
      <c r="O193" s="1761"/>
      <c r="P193" s="1761"/>
      <c r="Q193" s="1"/>
      <c r="R193" s="1"/>
      <c r="S193" s="48"/>
      <c r="T193" s="1"/>
      <c r="U193" s="1"/>
      <c r="V193" s="1174"/>
      <c r="W193" s="1174"/>
      <c r="X193" s="1174"/>
      <c r="Y193" s="1175"/>
      <c r="XFD193" s="1184"/>
    </row>
    <row r="194" spans="1:25 16384:16384" s="1164" customFormat="1" ht="15" hidden="1" customHeight="1">
      <c r="B194" s="1179"/>
      <c r="C194" s="1178"/>
      <c r="D194" s="1761"/>
      <c r="E194" s="1761"/>
      <c r="F194" s="1761"/>
      <c r="G194" s="1761"/>
      <c r="H194" s="1761"/>
      <c r="I194" s="1761"/>
      <c r="J194" s="1761"/>
      <c r="K194" s="1761"/>
      <c r="L194" s="1761"/>
      <c r="M194" s="1761"/>
      <c r="N194" s="1761"/>
      <c r="O194" s="1761"/>
      <c r="P194" s="1761"/>
      <c r="Q194" s="1"/>
      <c r="R194" s="1"/>
      <c r="S194" s="9"/>
      <c r="T194" s="1"/>
      <c r="U194" s="1"/>
      <c r="V194" s="1174"/>
      <c r="W194" s="1174"/>
      <c r="X194" s="1174"/>
      <c r="Y194" s="1175"/>
      <c r="XFD194" s="1184"/>
    </row>
    <row r="195" spans="1:25 16384:16384" ht="15" hidden="1" customHeight="1">
      <c r="B195" s="789"/>
      <c r="D195" s="124"/>
      <c r="E195" s="124"/>
      <c r="F195" s="124"/>
      <c r="G195" s="124"/>
      <c r="H195" s="124"/>
      <c r="I195" s="124"/>
      <c r="J195" s="124"/>
      <c r="K195" s="124"/>
      <c r="L195" s="124"/>
      <c r="M195" s="124"/>
      <c r="N195" s="124"/>
      <c r="O195" s="124"/>
      <c r="P195" s="125"/>
      <c r="S195" s="48"/>
      <c r="V195" s="21"/>
      <c r="W195" s="21"/>
      <c r="X195" s="21"/>
      <c r="Y195" s="165"/>
    </row>
    <row r="196" spans="1:25 16384:16384" s="1164" customFormat="1" ht="15" hidden="1" customHeight="1">
      <c r="A196" s="1184"/>
      <c r="B196" s="1179"/>
      <c r="C196" s="1178"/>
      <c r="D196" s="1761" t="str">
        <f>Text!C71</f>
        <v>Wird bereits in der Ausschreibung oder im Wettbewerb eine CO2-Bilanz für das Bauvorhaben zwingend verlangt?</v>
      </c>
      <c r="E196" s="1761"/>
      <c r="F196" s="1761"/>
      <c r="G196" s="1761"/>
      <c r="H196" s="1761"/>
      <c r="I196" s="1761"/>
      <c r="J196" s="1761"/>
      <c r="K196" s="1761"/>
      <c r="L196" s="1761"/>
      <c r="M196" s="1761"/>
      <c r="N196" s="1761"/>
      <c r="O196" s="1761"/>
      <c r="P196" s="1761"/>
      <c r="Q196" s="1"/>
      <c r="R196" s="1"/>
      <c r="S196" s="48"/>
      <c r="T196" s="1"/>
      <c r="U196" s="1"/>
      <c r="V196" s="1174"/>
      <c r="W196" s="1174"/>
      <c r="X196" s="1174"/>
      <c r="Y196" s="1175"/>
      <c r="XFD196" s="1184"/>
    </row>
    <row r="197" spans="1:25 16384:16384" s="1164" customFormat="1" ht="15" hidden="1" customHeight="1">
      <c r="B197" s="1179"/>
      <c r="C197" s="1178"/>
      <c r="D197" s="1761"/>
      <c r="E197" s="1761"/>
      <c r="F197" s="1761"/>
      <c r="G197" s="1761"/>
      <c r="H197" s="1761"/>
      <c r="I197" s="1761"/>
      <c r="J197" s="1761"/>
      <c r="K197" s="1761"/>
      <c r="L197" s="1761"/>
      <c r="M197" s="1761"/>
      <c r="N197" s="1761"/>
      <c r="O197" s="1761"/>
      <c r="P197" s="1761"/>
      <c r="Q197" s="1"/>
      <c r="R197" s="1"/>
      <c r="S197" s="9"/>
      <c r="T197" s="1"/>
      <c r="U197" s="1"/>
      <c r="V197" s="1174"/>
      <c r="W197" s="1174"/>
      <c r="X197" s="1174"/>
      <c r="Y197" s="1175"/>
      <c r="XFD197" s="1184"/>
    </row>
    <row r="198" spans="1:25 16384:16384" ht="15" hidden="1" customHeight="1">
      <c r="B198" s="789"/>
      <c r="D198" s="124"/>
      <c r="E198" s="124"/>
      <c r="F198" s="124"/>
      <c r="G198" s="124"/>
      <c r="H198" s="124"/>
      <c r="I198" s="124"/>
      <c r="J198" s="124"/>
      <c r="K198" s="124"/>
      <c r="L198" s="124"/>
      <c r="M198" s="124"/>
      <c r="N198" s="124"/>
      <c r="O198" s="124"/>
      <c r="P198" s="124"/>
      <c r="Q198" s="1"/>
      <c r="R198" s="1"/>
      <c r="S198" s="48"/>
      <c r="V198" s="21"/>
      <c r="W198" s="21"/>
      <c r="X198" s="21"/>
      <c r="Y198" s="165"/>
    </row>
    <row r="199" spans="1:25 16384:16384" s="1164" customFormat="1" ht="15" hidden="1" customHeight="1">
      <c r="A199" s="1184"/>
      <c r="B199" s="1179"/>
      <c r="C199" s="1178"/>
      <c r="D199" s="1761" t="str">
        <f>Text!C72</f>
        <v>Hat man beim Planerwahlverfahren Referenzen und Kompetenzen bezüglich der Klimawandelsensibilität berücksichtigt?</v>
      </c>
      <c r="E199" s="1761"/>
      <c r="F199" s="1761"/>
      <c r="G199" s="1761"/>
      <c r="H199" s="1761"/>
      <c r="I199" s="1761"/>
      <c r="J199" s="1761"/>
      <c r="K199" s="1761"/>
      <c r="L199" s="1761"/>
      <c r="M199" s="1761"/>
      <c r="N199" s="1761"/>
      <c r="O199" s="1761"/>
      <c r="P199" s="1761"/>
      <c r="Q199" s="1"/>
      <c r="R199" s="1"/>
      <c r="S199" s="48"/>
      <c r="T199" s="1"/>
      <c r="U199" s="1"/>
      <c r="V199" s="1174"/>
      <c r="W199" s="1174"/>
      <c r="X199" s="1174"/>
      <c r="Y199" s="1175"/>
      <c r="XFD199" s="1184"/>
    </row>
    <row r="200" spans="1:25 16384:16384" s="1164" customFormat="1" ht="15" hidden="1" customHeight="1">
      <c r="B200" s="1179"/>
      <c r="C200" s="1178"/>
      <c r="D200" s="1761"/>
      <c r="E200" s="1761"/>
      <c r="F200" s="1761"/>
      <c r="G200" s="1761"/>
      <c r="H200" s="1761"/>
      <c r="I200" s="1761"/>
      <c r="J200" s="1761"/>
      <c r="K200" s="1761"/>
      <c r="L200" s="1761"/>
      <c r="M200" s="1761"/>
      <c r="N200" s="1761"/>
      <c r="O200" s="1761"/>
      <c r="P200" s="1761"/>
      <c r="Q200" s="1"/>
      <c r="R200" s="1"/>
      <c r="S200" s="9"/>
      <c r="T200" s="1"/>
      <c r="U200" s="1"/>
      <c r="V200" s="1174"/>
      <c r="W200" s="1174"/>
      <c r="X200" s="1174"/>
      <c r="Y200" s="1175"/>
      <c r="XFD200" s="1184"/>
    </row>
    <row r="201" spans="1:25 16384:16384" ht="15" customHeight="1">
      <c r="B201" s="789"/>
      <c r="D201" s="124"/>
      <c r="E201" s="124"/>
      <c r="F201" s="124"/>
      <c r="G201" s="124"/>
      <c r="H201" s="124"/>
      <c r="I201" s="124"/>
      <c r="J201" s="124"/>
      <c r="K201" s="124"/>
      <c r="L201" s="124"/>
      <c r="M201" s="124"/>
      <c r="N201" s="124"/>
      <c r="O201" s="124"/>
      <c r="P201" s="125"/>
      <c r="S201" s="48"/>
      <c r="V201" s="21"/>
      <c r="W201" s="21"/>
      <c r="X201" s="21"/>
      <c r="Y201" s="165"/>
    </row>
    <row r="202" spans="1:25 16384:16384" s="1164" customFormat="1" ht="15" customHeight="1">
      <c r="A202" s="1184"/>
      <c r="B202" s="1179"/>
      <c r="C202" s="1178"/>
      <c r="D202" s="1761" t="str">
        <f>Text!C73</f>
        <v xml:space="preserve">Wird beim Projekt der Dialog mit allen Interessengruppen (zukünftige Nutzende, Nachbarschaft, Verbände usw.) frühzeitig gesucht, um deren Teilhabe im Planungsprozess zu ermöglichen? </v>
      </c>
      <c r="E202" s="1761"/>
      <c r="F202" s="1761"/>
      <c r="G202" s="1761"/>
      <c r="H202" s="1761"/>
      <c r="I202" s="1761"/>
      <c r="J202" s="1761"/>
      <c r="K202" s="1761"/>
      <c r="L202" s="1761"/>
      <c r="M202" s="1761"/>
      <c r="N202" s="1761"/>
      <c r="O202" s="1761"/>
      <c r="P202" s="1761"/>
      <c r="Q202" s="4"/>
      <c r="R202" s="4"/>
      <c r="S202" s="48"/>
      <c r="T202" s="1"/>
      <c r="U202" s="1"/>
      <c r="V202" s="1176">
        <f>Text!B73</f>
        <v>113</v>
      </c>
      <c r="W202" s="1176"/>
      <c r="X202" s="1176"/>
      <c r="Y202" s="1177"/>
    </row>
    <row r="203" spans="1:25 16384:16384" s="1164" customFormat="1" ht="15" customHeight="1">
      <c r="B203" s="1179"/>
      <c r="C203" s="1178"/>
      <c r="D203" s="1761"/>
      <c r="E203" s="1761"/>
      <c r="F203" s="1761"/>
      <c r="G203" s="1761"/>
      <c r="H203" s="1761"/>
      <c r="I203" s="1761"/>
      <c r="J203" s="1761"/>
      <c r="K203" s="1761"/>
      <c r="L203" s="1761"/>
      <c r="M203" s="1761"/>
      <c r="N203" s="1761"/>
      <c r="O203" s="1761"/>
      <c r="P203" s="1761"/>
      <c r="Q203" s="1"/>
      <c r="R203" s="1"/>
      <c r="S203" s="7"/>
      <c r="T203" s="1"/>
      <c r="U203" s="1"/>
      <c r="V203" s="1176"/>
      <c r="W203" s="1176"/>
      <c r="X203" s="1176"/>
      <c r="Y203" s="1177"/>
    </row>
    <row r="204" spans="1:25 16384:16384" ht="15" hidden="1" customHeight="1">
      <c r="B204" s="789"/>
      <c r="D204" s="124"/>
      <c r="E204" s="124"/>
      <c r="F204" s="124"/>
      <c r="G204" s="124"/>
      <c r="H204" s="124"/>
      <c r="I204" s="124"/>
      <c r="J204" s="124"/>
      <c r="K204" s="124"/>
      <c r="L204" s="124"/>
      <c r="M204" s="124"/>
      <c r="N204" s="124"/>
      <c r="O204" s="124"/>
      <c r="P204" s="125"/>
      <c r="S204" s="48"/>
      <c r="V204" s="21"/>
      <c r="W204" s="21"/>
      <c r="X204" s="21"/>
      <c r="Y204" s="165"/>
    </row>
    <row r="205" spans="1:25 16384:16384" s="1164" customFormat="1" ht="15" hidden="1" customHeight="1">
      <c r="A205" s="1184"/>
      <c r="B205" s="1179"/>
      <c r="C205" s="1178"/>
      <c r="D205" s="1761" t="str">
        <f>Text!C74</f>
        <v>Wurden Informationen zum Projekt niederschwellig zur Verfügung gestellt, z. B. online?</v>
      </c>
      <c r="E205" s="1761"/>
      <c r="F205" s="1761"/>
      <c r="G205" s="1761"/>
      <c r="H205" s="1761"/>
      <c r="I205" s="1761"/>
      <c r="J205" s="1761"/>
      <c r="K205" s="1761"/>
      <c r="L205" s="1761"/>
      <c r="M205" s="1761"/>
      <c r="N205" s="1761"/>
      <c r="O205" s="1761"/>
      <c r="P205" s="1761"/>
      <c r="Q205" s="1"/>
      <c r="R205" s="1"/>
      <c r="S205" s="48"/>
      <c r="T205" s="1"/>
      <c r="U205" s="1"/>
      <c r="V205" s="1174"/>
      <c r="W205" s="1174"/>
      <c r="X205" s="1174"/>
      <c r="Y205" s="1175"/>
      <c r="XFD205" s="1184"/>
    </row>
    <row r="206" spans="1:25 16384:16384" s="1164" customFormat="1" ht="15" hidden="1" customHeight="1">
      <c r="B206" s="1179"/>
      <c r="C206" s="1178"/>
      <c r="D206" s="1761"/>
      <c r="E206" s="1761"/>
      <c r="F206" s="1761"/>
      <c r="G206" s="1761"/>
      <c r="H206" s="1761"/>
      <c r="I206" s="1761"/>
      <c r="J206" s="1761"/>
      <c r="K206" s="1761"/>
      <c r="L206" s="1761"/>
      <c r="M206" s="1761"/>
      <c r="N206" s="1761"/>
      <c r="O206" s="1761"/>
      <c r="P206" s="1761"/>
      <c r="Q206" s="1"/>
      <c r="R206" s="1"/>
      <c r="S206" s="9"/>
      <c r="T206" s="1"/>
      <c r="U206" s="1"/>
      <c r="V206" s="1174"/>
      <c r="W206" s="1174"/>
      <c r="X206" s="1174"/>
      <c r="Y206" s="1175"/>
      <c r="XFD206" s="1184"/>
    </row>
    <row r="207" spans="1:25 16384:16384" ht="15" hidden="1" customHeight="1">
      <c r="B207" s="789"/>
      <c r="D207" s="125"/>
      <c r="E207" s="125"/>
      <c r="F207" s="125"/>
      <c r="G207" s="125"/>
      <c r="H207" s="125"/>
      <c r="I207" s="125"/>
      <c r="J207" s="125"/>
      <c r="K207" s="124"/>
      <c r="L207" s="124"/>
      <c r="M207" s="124"/>
      <c r="N207" s="124"/>
      <c r="O207" s="124"/>
      <c r="P207" s="124"/>
      <c r="Q207" s="1"/>
      <c r="R207" s="1"/>
      <c r="S207" s="48"/>
      <c r="V207" s="23"/>
      <c r="W207" s="21"/>
      <c r="X207" s="21"/>
      <c r="Y207" s="165"/>
    </row>
    <row r="208" spans="1:25 16384:16384" s="1164" customFormat="1" ht="15" hidden="1" customHeight="1">
      <c r="A208" s="1184"/>
      <c r="B208" s="1179"/>
      <c r="C208" s="1178"/>
      <c r="D208" s="1761" t="str">
        <f>Text!C75</f>
        <v>Werden zukünftige Nutzende über das Projekt direkt informiert und ihr Feedback in das Projekt einbezogen?</v>
      </c>
      <c r="E208" s="1761"/>
      <c r="F208" s="1761"/>
      <c r="G208" s="1761"/>
      <c r="H208" s="1761"/>
      <c r="I208" s="1761"/>
      <c r="J208" s="1761"/>
      <c r="K208" s="1761"/>
      <c r="L208" s="1761"/>
      <c r="M208" s="1761"/>
      <c r="N208" s="1761"/>
      <c r="O208" s="1761"/>
      <c r="P208" s="1761"/>
      <c r="Q208" s="1"/>
      <c r="R208" s="1"/>
      <c r="S208" s="48"/>
      <c r="T208" s="1"/>
      <c r="U208" s="1"/>
      <c r="V208" s="1174"/>
      <c r="W208" s="1174"/>
      <c r="X208" s="1174"/>
      <c r="Y208" s="1175"/>
      <c r="XFD208" s="1184"/>
    </row>
    <row r="209" spans="1:25 16384:16384" s="1164" customFormat="1" ht="15" hidden="1" customHeight="1">
      <c r="B209" s="1179"/>
      <c r="C209" s="1178"/>
      <c r="D209" s="1761"/>
      <c r="E209" s="1761"/>
      <c r="F209" s="1761"/>
      <c r="G209" s="1761"/>
      <c r="H209" s="1761"/>
      <c r="I209" s="1761"/>
      <c r="J209" s="1761"/>
      <c r="K209" s="1761"/>
      <c r="L209" s="1761"/>
      <c r="M209" s="1761"/>
      <c r="N209" s="1761"/>
      <c r="O209" s="1761"/>
      <c r="P209" s="1761"/>
      <c r="Q209" s="1"/>
      <c r="R209" s="1"/>
      <c r="S209" s="9"/>
      <c r="T209" s="1"/>
      <c r="U209" s="1"/>
      <c r="V209" s="1174"/>
      <c r="W209" s="1174"/>
      <c r="X209" s="1174"/>
      <c r="Y209" s="1175"/>
      <c r="XFD209" s="1184"/>
    </row>
    <row r="210" spans="1:25 16384:16384" ht="15" hidden="1" customHeight="1">
      <c r="B210" s="789"/>
      <c r="D210" s="125"/>
      <c r="E210" s="125"/>
      <c r="F210" s="125"/>
      <c r="G210" s="125"/>
      <c r="H210" s="125"/>
      <c r="I210" s="125"/>
      <c r="J210" s="125"/>
      <c r="K210" s="124"/>
      <c r="L210" s="124"/>
      <c r="M210" s="124"/>
      <c r="N210" s="124"/>
      <c r="O210" s="124"/>
      <c r="P210" s="124"/>
      <c r="Q210" s="1"/>
      <c r="R210" s="1"/>
      <c r="S210" s="48"/>
      <c r="V210" s="23"/>
      <c r="W210" s="21"/>
      <c r="X210" s="21"/>
      <c r="Y210" s="165"/>
    </row>
    <row r="211" spans="1:25 16384:16384" s="1164" customFormat="1" ht="15" hidden="1" customHeight="1">
      <c r="A211" s="1184"/>
      <c r="B211" s="1179"/>
      <c r="C211" s="1178"/>
      <c r="D211" s="1761" t="str">
        <f>Text!C76</f>
        <v>Wurden Lösungen bei Interessenskonflikten mit Nachbarn oder anderen Interessierten gesucht bzw. Interessenskonflikte gelöst?</v>
      </c>
      <c r="E211" s="1761"/>
      <c r="F211" s="1761"/>
      <c r="G211" s="1761"/>
      <c r="H211" s="1761"/>
      <c r="I211" s="1761"/>
      <c r="J211" s="1761"/>
      <c r="K211" s="1761"/>
      <c r="L211" s="1761"/>
      <c r="M211" s="1761"/>
      <c r="N211" s="1761"/>
      <c r="O211" s="1761"/>
      <c r="P211" s="1761"/>
      <c r="Q211" s="1"/>
      <c r="R211" s="1"/>
      <c r="S211" s="48"/>
      <c r="T211" s="1"/>
      <c r="U211" s="1"/>
      <c r="V211" s="1174"/>
      <c r="W211" s="1174"/>
      <c r="X211" s="1174"/>
      <c r="Y211" s="1175"/>
      <c r="XFD211" s="1184"/>
    </row>
    <row r="212" spans="1:25 16384:16384" s="1164" customFormat="1" ht="15" hidden="1" customHeight="1">
      <c r="B212" s="1179"/>
      <c r="C212" s="1178"/>
      <c r="D212" s="1761"/>
      <c r="E212" s="1761"/>
      <c r="F212" s="1761"/>
      <c r="G212" s="1761"/>
      <c r="H212" s="1761"/>
      <c r="I212" s="1761"/>
      <c r="J212" s="1761"/>
      <c r="K212" s="1761"/>
      <c r="L212" s="1761"/>
      <c r="M212" s="1761"/>
      <c r="N212" s="1761"/>
      <c r="O212" s="1761"/>
      <c r="P212" s="1761"/>
      <c r="Q212" s="1"/>
      <c r="R212" s="1"/>
      <c r="S212" s="9"/>
      <c r="T212" s="1"/>
      <c r="U212" s="1"/>
      <c r="V212" s="1174"/>
      <c r="W212" s="1174"/>
      <c r="X212" s="1174"/>
      <c r="Y212" s="1175"/>
      <c r="XFD212" s="1184"/>
    </row>
    <row r="213" spans="1:25 16384:16384" ht="15" customHeight="1">
      <c r="B213" s="789"/>
      <c r="D213" s="125"/>
      <c r="E213" s="125"/>
      <c r="F213" s="125"/>
      <c r="G213" s="125"/>
      <c r="H213" s="125"/>
      <c r="I213" s="125"/>
      <c r="J213" s="125"/>
      <c r="K213" s="124"/>
      <c r="L213" s="124"/>
      <c r="M213" s="124"/>
      <c r="N213" s="124"/>
      <c r="O213" s="124"/>
      <c r="P213" s="124"/>
      <c r="Q213" s="1"/>
      <c r="R213" s="1"/>
      <c r="S213" s="48"/>
      <c r="V213" s="23"/>
      <c r="W213" s="21"/>
      <c r="X213" s="21"/>
      <c r="Y213" s="165"/>
    </row>
    <row r="214" spans="1:25 16384:16384" s="1164" customFormat="1" ht="29.15" customHeight="1">
      <c r="A214" s="1184"/>
      <c r="B214" s="1179"/>
      <c r="C214" s="1178"/>
      <c r="D214" s="1761" t="str">
        <f>Text!C77</f>
        <v>Berücksichtigt das Gebäudekonzept die Bedürfnisse und Gewohnheiten der zukünftigen Nutzenden in Bezug auf Anwesenheitszeiten, Lüftungsverhalten und Steuerung der Verschattung und werden die Nutzenden in Bezug auf Überhitzung und unterstützende Automatisierung sensibilisiert?</v>
      </c>
      <c r="E214" s="1761"/>
      <c r="F214" s="1761"/>
      <c r="G214" s="1761"/>
      <c r="H214" s="1761"/>
      <c r="I214" s="1761"/>
      <c r="J214" s="1761"/>
      <c r="K214" s="1761"/>
      <c r="L214" s="1761"/>
      <c r="M214" s="1761"/>
      <c r="N214" s="1761"/>
      <c r="O214" s="1761"/>
      <c r="P214" s="1761"/>
      <c r="Q214" s="1"/>
      <c r="R214" s="1"/>
      <c r="S214" s="48"/>
      <c r="T214" s="1"/>
      <c r="U214" s="1"/>
      <c r="V214" s="1174" t="str">
        <f>Text!B77</f>
        <v>K113a</v>
      </c>
      <c r="W214" s="1185"/>
      <c r="X214" s="1185"/>
      <c r="Y214" s="1183"/>
    </row>
    <row r="215" spans="1:25 16384:16384" s="1164" customFormat="1" ht="15" customHeight="1">
      <c r="B215" s="1179"/>
      <c r="C215" s="1178"/>
      <c r="D215" s="1761"/>
      <c r="E215" s="1761"/>
      <c r="F215" s="1761"/>
      <c r="G215" s="1761"/>
      <c r="H215" s="1761"/>
      <c r="I215" s="1761"/>
      <c r="J215" s="1761"/>
      <c r="K215" s="1761"/>
      <c r="L215" s="1761"/>
      <c r="M215" s="1761"/>
      <c r="N215" s="1761"/>
      <c r="O215" s="1761"/>
      <c r="P215" s="1761"/>
      <c r="Q215" s="1"/>
      <c r="R215" s="1"/>
      <c r="S215" s="7"/>
      <c r="T215" s="1"/>
      <c r="U215" s="1"/>
      <c r="V215" s="1174"/>
      <c r="W215" s="1176"/>
      <c r="X215" s="1176"/>
      <c r="Y215" s="1177"/>
    </row>
    <row r="216" spans="1:25 16384:16384" ht="15" hidden="1" customHeight="1">
      <c r="B216" s="789"/>
      <c r="D216" s="125"/>
      <c r="E216" s="125"/>
      <c r="F216" s="125"/>
      <c r="G216" s="125"/>
      <c r="H216" s="125"/>
      <c r="I216" s="125"/>
      <c r="J216" s="125"/>
      <c r="K216" s="124"/>
      <c r="L216" s="124"/>
      <c r="M216" s="124"/>
      <c r="N216" s="124"/>
      <c r="O216" s="124"/>
      <c r="P216" s="124"/>
      <c r="Q216" s="1"/>
      <c r="R216" s="1"/>
      <c r="S216" s="48"/>
      <c r="V216" s="23"/>
      <c r="W216" s="21"/>
      <c r="X216" s="21"/>
      <c r="Y216" s="165"/>
    </row>
    <row r="217" spans="1:25 16384:16384" s="1164" customFormat="1" ht="15" hidden="1" customHeight="1">
      <c r="A217" s="1184"/>
      <c r="B217" s="1179"/>
      <c r="C217" s="1178"/>
      <c r="D217" s="1761" t="str">
        <f>Text!C78</f>
        <v>Werden die Gewohnheiten und Bedürfnisse der Nutzenden in Bezug auf Anwesenheitszeiten, Lüftungsverhalten und Steuerung der Verschattung analysiert und im Betriebskonzept berücksichtigt?</v>
      </c>
      <c r="E217" s="1761"/>
      <c r="F217" s="1761"/>
      <c r="G217" s="1761"/>
      <c r="H217" s="1761"/>
      <c r="I217" s="1761"/>
      <c r="J217" s="1761"/>
      <c r="K217" s="1761"/>
      <c r="L217" s="1761"/>
      <c r="M217" s="1761"/>
      <c r="N217" s="1761"/>
      <c r="O217" s="1761"/>
      <c r="P217" s="1761"/>
      <c r="Q217" s="1"/>
      <c r="R217" s="1"/>
      <c r="S217" s="48"/>
      <c r="T217" s="1"/>
      <c r="U217" s="1"/>
      <c r="V217" s="1174"/>
      <c r="W217" s="1174"/>
      <c r="X217" s="1174"/>
      <c r="Y217" s="1175"/>
      <c r="XFD217" s="1184"/>
    </row>
    <row r="218" spans="1:25 16384:16384" s="1164" customFormat="1" ht="15" hidden="1" customHeight="1">
      <c r="B218" s="1179"/>
      <c r="C218" s="1178"/>
      <c r="D218" s="1761"/>
      <c r="E218" s="1761"/>
      <c r="F218" s="1761"/>
      <c r="G218" s="1761"/>
      <c r="H218" s="1761"/>
      <c r="I218" s="1761"/>
      <c r="J218" s="1761"/>
      <c r="K218" s="1761"/>
      <c r="L218" s="1761"/>
      <c r="M218" s="1761"/>
      <c r="N218" s="1761"/>
      <c r="O218" s="1761"/>
      <c r="P218" s="1761"/>
      <c r="Q218" s="1"/>
      <c r="R218" s="1"/>
      <c r="S218" s="9"/>
      <c r="T218" s="1"/>
      <c r="U218" s="1"/>
      <c r="V218" s="1174"/>
      <c r="W218" s="1174"/>
      <c r="X218" s="1174"/>
      <c r="Y218" s="1175"/>
      <c r="XFD218" s="1184"/>
    </row>
    <row r="219" spans="1:25 16384:16384" ht="15" hidden="1" customHeight="1">
      <c r="B219" s="789"/>
      <c r="D219" s="124"/>
      <c r="E219" s="124"/>
      <c r="F219" s="124"/>
      <c r="G219" s="124"/>
      <c r="H219" s="124"/>
      <c r="I219" s="124"/>
      <c r="J219" s="124"/>
      <c r="K219" s="124"/>
      <c r="L219" s="124"/>
      <c r="M219" s="124"/>
      <c r="N219" s="124"/>
      <c r="O219" s="124"/>
      <c r="P219" s="125"/>
      <c r="S219" s="48"/>
      <c r="V219" s="21"/>
      <c r="W219" s="21"/>
      <c r="X219" s="21"/>
      <c r="Y219" s="165"/>
    </row>
    <row r="220" spans="1:25 16384:16384" s="1164" customFormat="1" ht="15" hidden="1" customHeight="1">
      <c r="A220" s="1184"/>
      <c r="B220" s="1179"/>
      <c r="C220" s="1178"/>
      <c r="D220" s="1761" t="str">
        <f>Text!C79</f>
        <v>Erhalten die zukünftigen Nutzenden entsprechende Instruktionen und Hinweise, um sie gezielt darauf zu sensibilisieren, wie ihr Verhalten in Bezug auf Lüften und Verschattung zur Vermeidung von Überhitzung beiträgt?</v>
      </c>
      <c r="E220" s="1761"/>
      <c r="F220" s="1761"/>
      <c r="G220" s="1761"/>
      <c r="H220" s="1761"/>
      <c r="I220" s="1761"/>
      <c r="J220" s="1761"/>
      <c r="K220" s="1761"/>
      <c r="L220" s="1761"/>
      <c r="M220" s="1761"/>
      <c r="N220" s="1761"/>
      <c r="O220" s="1761"/>
      <c r="P220" s="1761"/>
      <c r="Q220" s="1"/>
      <c r="R220" s="1"/>
      <c r="S220" s="48"/>
      <c r="T220" s="1"/>
      <c r="U220" s="1"/>
      <c r="V220" s="1174"/>
      <c r="W220" s="1174"/>
      <c r="X220" s="1174"/>
      <c r="Y220" s="1175"/>
      <c r="XFD220" s="1184"/>
    </row>
    <row r="221" spans="1:25 16384:16384" s="1164" customFormat="1" ht="15" hidden="1" customHeight="1">
      <c r="B221" s="1179"/>
      <c r="C221" s="1178"/>
      <c r="D221" s="1761"/>
      <c r="E221" s="1761"/>
      <c r="F221" s="1761"/>
      <c r="G221" s="1761"/>
      <c r="H221" s="1761"/>
      <c r="I221" s="1761"/>
      <c r="J221" s="1761"/>
      <c r="K221" s="1761"/>
      <c r="L221" s="1761"/>
      <c r="M221" s="1761"/>
      <c r="N221" s="1761"/>
      <c r="O221" s="1761"/>
      <c r="P221" s="1761"/>
      <c r="Q221" s="1"/>
      <c r="R221" s="1"/>
      <c r="S221" s="9"/>
      <c r="T221" s="1"/>
      <c r="U221" s="1"/>
      <c r="V221" s="1174"/>
      <c r="W221" s="1174"/>
      <c r="X221" s="1174"/>
      <c r="Y221" s="1175"/>
      <c r="XFD221" s="1184"/>
    </row>
    <row r="222" spans="1:25 16384:16384" ht="15" hidden="1" customHeight="1">
      <c r="B222" s="789"/>
      <c r="D222" s="124"/>
      <c r="E222" s="124"/>
      <c r="F222" s="124"/>
      <c r="G222" s="124"/>
      <c r="H222" s="124"/>
      <c r="I222" s="124"/>
      <c r="J222" s="124"/>
      <c r="K222" s="124"/>
      <c r="L222" s="124"/>
      <c r="M222" s="124"/>
      <c r="N222" s="124"/>
      <c r="O222" s="124"/>
      <c r="P222" s="125"/>
      <c r="S222" s="48"/>
      <c r="V222" s="21"/>
      <c r="W222" s="21"/>
      <c r="X222" s="21"/>
      <c r="Y222" s="165"/>
    </row>
    <row r="223" spans="1:25 16384:16384" s="1164" customFormat="1" ht="15" hidden="1" customHeight="1">
      <c r="A223" s="1184"/>
      <c r="B223" s="1179"/>
      <c r="C223" s="1178"/>
      <c r="D223" s="1761" t="str">
        <f>Text!C80</f>
        <v>Werden die Nutzenden in Bezug auf die unterstützende Wirkung der vorhandenen Automatisierung aufmerksam gemacht und anhand von passenden Instruktionen sensibilisiert?</v>
      </c>
      <c r="E223" s="1761"/>
      <c r="F223" s="1761"/>
      <c r="G223" s="1761"/>
      <c r="H223" s="1761"/>
      <c r="I223" s="1761"/>
      <c r="J223" s="1761"/>
      <c r="K223" s="1761"/>
      <c r="L223" s="1761"/>
      <c r="M223" s="1761"/>
      <c r="N223" s="1761"/>
      <c r="O223" s="1761"/>
      <c r="P223" s="1761"/>
      <c r="Q223" s="1"/>
      <c r="R223" s="1"/>
      <c r="S223" s="48"/>
      <c r="T223" s="1"/>
      <c r="U223" s="1"/>
      <c r="V223" s="1174"/>
      <c r="W223" s="1174"/>
      <c r="X223" s="1174"/>
      <c r="Y223" s="1175"/>
      <c r="XFD223" s="1184"/>
    </row>
    <row r="224" spans="1:25 16384:16384" s="1164" customFormat="1" ht="15" hidden="1" customHeight="1">
      <c r="B224" s="1179"/>
      <c r="C224" s="1178"/>
      <c r="D224" s="1761"/>
      <c r="E224" s="1761"/>
      <c r="F224" s="1761"/>
      <c r="G224" s="1761"/>
      <c r="H224" s="1761"/>
      <c r="I224" s="1761"/>
      <c r="J224" s="1761"/>
      <c r="K224" s="1761"/>
      <c r="L224" s="1761"/>
      <c r="M224" s="1761"/>
      <c r="N224" s="1761"/>
      <c r="O224" s="1761"/>
      <c r="P224" s="1761"/>
      <c r="Q224" s="1"/>
      <c r="R224" s="1"/>
      <c r="S224" s="9"/>
      <c r="T224" s="1"/>
      <c r="U224" s="1"/>
      <c r="V224" s="1174"/>
      <c r="W224" s="1174"/>
      <c r="X224" s="1174"/>
      <c r="Y224" s="1175"/>
      <c r="XFD224" s="1184"/>
    </row>
    <row r="225" spans="1:25 16384:16384" ht="15" customHeight="1">
      <c r="B225" s="789"/>
      <c r="D225" s="125"/>
      <c r="E225" s="125"/>
      <c r="F225" s="125"/>
      <c r="G225" s="125"/>
      <c r="H225" s="125"/>
      <c r="I225" s="125"/>
      <c r="J225" s="125"/>
      <c r="K225" s="125"/>
      <c r="L225" s="125"/>
      <c r="M225" s="125"/>
      <c r="N225" s="125"/>
      <c r="O225" s="125"/>
      <c r="P225" s="125"/>
      <c r="S225" s="48"/>
      <c r="V225" s="21"/>
      <c r="W225" s="21"/>
      <c r="X225" s="21"/>
      <c r="Y225" s="165"/>
    </row>
    <row r="226" spans="1:25 16384:16384" s="1164" customFormat="1" ht="15" customHeight="1">
      <c r="A226" s="1184"/>
      <c r="B226" s="1179"/>
      <c r="C226" s="1178"/>
      <c r="D226" s="1761" t="str">
        <f>Text!C81</f>
        <v>Werden die Nutzenden gezielt dazu ermutigt und unterstützt, durch ihr Verhalten im Gebäude (Energieverbrauch), ihre Mobilität und die gemeinsame Nutzung von Ressourcen zum Klimaschutz beizutragen?</v>
      </c>
      <c r="E226" s="1761"/>
      <c r="F226" s="1761"/>
      <c r="G226" s="1761"/>
      <c r="H226" s="1761"/>
      <c r="I226" s="1761"/>
      <c r="J226" s="1761"/>
      <c r="K226" s="1761"/>
      <c r="L226" s="1761"/>
      <c r="M226" s="1761"/>
      <c r="N226" s="1761"/>
      <c r="O226" s="1761"/>
      <c r="P226" s="1761"/>
      <c r="Q226" s="4"/>
      <c r="R226" s="4"/>
      <c r="S226" s="48"/>
      <c r="T226" s="1"/>
      <c r="U226" s="1"/>
      <c r="V226" s="1174" t="str">
        <f>Text!B81</f>
        <v>K113b</v>
      </c>
      <c r="W226" s="1174"/>
      <c r="X226" s="1174"/>
      <c r="Y226" s="1183"/>
    </row>
    <row r="227" spans="1:25 16384:16384" s="1164" customFormat="1" ht="15" customHeight="1">
      <c r="B227" s="1179"/>
      <c r="C227" s="1178"/>
      <c r="D227" s="1761"/>
      <c r="E227" s="1761"/>
      <c r="F227" s="1761"/>
      <c r="G227" s="1761"/>
      <c r="H227" s="1761"/>
      <c r="I227" s="1761"/>
      <c r="J227" s="1761"/>
      <c r="K227" s="1761"/>
      <c r="L227" s="1761"/>
      <c r="M227" s="1761"/>
      <c r="N227" s="1761"/>
      <c r="O227" s="1761"/>
      <c r="P227" s="1761"/>
      <c r="Q227" s="1"/>
      <c r="R227" s="1"/>
      <c r="S227" s="7"/>
      <c r="T227" s="1"/>
      <c r="U227" s="1"/>
      <c r="V227" s="1176"/>
      <c r="W227" s="1176"/>
      <c r="X227" s="1176"/>
      <c r="Y227" s="1177"/>
    </row>
    <row r="228" spans="1:25 16384:16384" ht="15" hidden="1" customHeight="1">
      <c r="B228" s="789"/>
      <c r="D228" s="125"/>
      <c r="E228" s="125"/>
      <c r="F228" s="125"/>
      <c r="G228" s="125"/>
      <c r="H228" s="125"/>
      <c r="I228" s="125"/>
      <c r="J228" s="125"/>
      <c r="K228" s="125"/>
      <c r="L228" s="125"/>
      <c r="M228" s="125"/>
      <c r="N228" s="125"/>
      <c r="O228" s="125"/>
      <c r="P228" s="125"/>
      <c r="S228" s="48"/>
      <c r="V228" s="21"/>
      <c r="W228" s="21"/>
      <c r="X228" s="21"/>
      <c r="Y228" s="165"/>
    </row>
    <row r="229" spans="1:25 16384:16384" s="1164" customFormat="1" ht="15" hidden="1" customHeight="1">
      <c r="A229" s="1184"/>
      <c r="B229" s="1179"/>
      <c r="C229" s="1178"/>
      <c r="D229" s="1761" t="str">
        <f>Text!C82</f>
        <v>Werden die Nutzenden aktiv dazu ermutigt, die Treibhausgasemissionen im Betrieb zu reduzieren (zum Beispiel durch einsehbares Monitoring, bereitgestellte Tipps oder Anleitungen zum Lüften und Heizen sowie moderne Stromleisten)?</v>
      </c>
      <c r="E229" s="1761"/>
      <c r="F229" s="1761"/>
      <c r="G229" s="1761"/>
      <c r="H229" s="1761"/>
      <c r="I229" s="1761"/>
      <c r="J229" s="1761"/>
      <c r="K229" s="1761"/>
      <c r="L229" s="1761"/>
      <c r="M229" s="1761"/>
      <c r="N229" s="1761"/>
      <c r="O229" s="1761"/>
      <c r="P229" s="1761"/>
      <c r="Q229" s="1"/>
      <c r="R229" s="1"/>
      <c r="S229" s="48"/>
      <c r="T229" s="1"/>
      <c r="U229" s="1"/>
      <c r="V229" s="1174"/>
      <c r="W229" s="1174"/>
      <c r="X229" s="1174"/>
      <c r="Y229" s="1175"/>
      <c r="XFD229" s="1184"/>
    </row>
    <row r="230" spans="1:25 16384:16384" s="1164" customFormat="1" ht="15" hidden="1" customHeight="1">
      <c r="B230" s="1179"/>
      <c r="C230" s="1178"/>
      <c r="D230" s="1761"/>
      <c r="E230" s="1761"/>
      <c r="F230" s="1761"/>
      <c r="G230" s="1761"/>
      <c r="H230" s="1761"/>
      <c r="I230" s="1761"/>
      <c r="J230" s="1761"/>
      <c r="K230" s="1761"/>
      <c r="L230" s="1761"/>
      <c r="M230" s="1761"/>
      <c r="N230" s="1761"/>
      <c r="O230" s="1761"/>
      <c r="P230" s="1761"/>
      <c r="Q230" s="1"/>
      <c r="R230" s="1"/>
      <c r="S230" s="9"/>
      <c r="T230" s="1"/>
      <c r="U230" s="1"/>
      <c r="V230" s="1174"/>
      <c r="W230" s="1174"/>
      <c r="X230" s="1174"/>
      <c r="Y230" s="1175"/>
      <c r="XFD230" s="1184"/>
    </row>
    <row r="231" spans="1:25 16384:16384" ht="15" hidden="1" customHeight="1">
      <c r="B231" s="789"/>
      <c r="D231" s="125"/>
      <c r="E231" s="125"/>
      <c r="F231" s="125"/>
      <c r="G231" s="125"/>
      <c r="H231" s="125"/>
      <c r="I231" s="125"/>
      <c r="J231" s="125"/>
      <c r="K231" s="125"/>
      <c r="L231" s="125"/>
      <c r="M231" s="125"/>
      <c r="N231" s="125"/>
      <c r="O231" s="125"/>
      <c r="P231" s="125"/>
      <c r="Q231" s="1"/>
      <c r="R231" s="1"/>
      <c r="S231" s="48"/>
      <c r="V231" s="1"/>
      <c r="Y231" s="1"/>
    </row>
    <row r="232" spans="1:25 16384:16384" s="1164" customFormat="1" ht="15" hidden="1" customHeight="1">
      <c r="A232" s="1184"/>
      <c r="B232" s="1179"/>
      <c r="C232" s="1178"/>
      <c r="D232" s="1761" t="str">
        <f>Text!C83</f>
        <v>Wird den Nutzenden aktiv dabei geholfen, die Treibhausgasemissionen durch Mobilität zu reduzieren, z. B. durch die Bereitstellung von Austauschplattformen zur Förderung von Fahrgemeinschaften?</v>
      </c>
      <c r="E232" s="1761"/>
      <c r="F232" s="1761"/>
      <c r="G232" s="1761"/>
      <c r="H232" s="1761"/>
      <c r="I232" s="1761"/>
      <c r="J232" s="1761"/>
      <c r="K232" s="1761"/>
      <c r="L232" s="1761"/>
      <c r="M232" s="1761"/>
      <c r="N232" s="1761"/>
      <c r="O232" s="1761"/>
      <c r="P232" s="1761"/>
      <c r="Q232" s="1"/>
      <c r="R232" s="1"/>
      <c r="S232" s="48"/>
      <c r="T232" s="1"/>
      <c r="U232" s="1"/>
      <c r="V232" s="1174"/>
      <c r="W232" s="1174"/>
      <c r="X232" s="1174"/>
      <c r="Y232" s="1175"/>
      <c r="XFD232" s="1184"/>
    </row>
    <row r="233" spans="1:25 16384:16384" s="1164" customFormat="1" ht="15" hidden="1" customHeight="1">
      <c r="B233" s="1179"/>
      <c r="C233" s="1178"/>
      <c r="D233" s="1761"/>
      <c r="E233" s="1761"/>
      <c r="F233" s="1761"/>
      <c r="G233" s="1761"/>
      <c r="H233" s="1761"/>
      <c r="I233" s="1761"/>
      <c r="J233" s="1761"/>
      <c r="K233" s="1761"/>
      <c r="L233" s="1761"/>
      <c r="M233" s="1761"/>
      <c r="N233" s="1761"/>
      <c r="O233" s="1761"/>
      <c r="P233" s="1761"/>
      <c r="Q233" s="1"/>
      <c r="R233" s="1"/>
      <c r="S233" s="9"/>
      <c r="T233" s="1"/>
      <c r="U233" s="1"/>
      <c r="V233" s="1174"/>
      <c r="W233" s="1174"/>
      <c r="X233" s="1174"/>
      <c r="Y233" s="1175"/>
      <c r="XFD233" s="1184"/>
    </row>
    <row r="234" spans="1:25 16384:16384" ht="15" hidden="1" customHeight="1">
      <c r="B234" s="789"/>
      <c r="D234" s="125"/>
      <c r="E234" s="125"/>
      <c r="F234" s="125"/>
      <c r="G234" s="125"/>
      <c r="H234" s="125"/>
      <c r="I234" s="125"/>
      <c r="J234" s="125"/>
      <c r="K234" s="125"/>
      <c r="L234" s="125"/>
      <c r="M234" s="125"/>
      <c r="N234" s="125"/>
      <c r="O234" s="125"/>
      <c r="P234" s="125"/>
      <c r="Q234" s="1"/>
      <c r="R234" s="1"/>
      <c r="S234" s="48"/>
      <c r="V234" s="1"/>
      <c r="Y234" s="1"/>
    </row>
    <row r="235" spans="1:25 16384:16384" s="1164" customFormat="1" ht="29.15" hidden="1" customHeight="1">
      <c r="A235" s="1184"/>
      <c r="B235" s="1179"/>
      <c r="C235" s="1178"/>
      <c r="D235" s="1761" t="str">
        <f>Text!C84</f>
        <v>Werden die Nutzenden durch gezielte Massnahmen unterstützt ihre Konsumgewohnheiten nachhaltiger zu gestalten und damit die Treibhausgasemissionen bei der Herstellung von Produkten zu senken? (z. B. Sharing von Gebrauchsgegenständen, Second-Hand-Märkte und Angebote zur Vermeidung von Food-Waste)</v>
      </c>
      <c r="E235" s="1761"/>
      <c r="F235" s="1761"/>
      <c r="G235" s="1761"/>
      <c r="H235" s="1761"/>
      <c r="I235" s="1761"/>
      <c r="J235" s="1761"/>
      <c r="K235" s="1761"/>
      <c r="L235" s="1761"/>
      <c r="M235" s="1761"/>
      <c r="N235" s="1761"/>
      <c r="O235" s="1761"/>
      <c r="P235" s="1761"/>
      <c r="Q235" s="124"/>
      <c r="R235" s="1"/>
      <c r="S235" s="48"/>
      <c r="T235" s="1"/>
      <c r="U235" s="1"/>
      <c r="V235" s="1176"/>
      <c r="W235" s="1176"/>
      <c r="X235" s="1176"/>
      <c r="Y235" s="1177"/>
    </row>
    <row r="236" spans="1:25 16384:16384" s="1164" customFormat="1" hidden="1">
      <c r="B236" s="1179"/>
      <c r="C236" s="1178"/>
      <c r="D236" s="1761"/>
      <c r="E236" s="1761"/>
      <c r="F236" s="1761"/>
      <c r="G236" s="1761"/>
      <c r="H236" s="1761"/>
      <c r="I236" s="1761"/>
      <c r="J236" s="1761"/>
      <c r="K236" s="1761"/>
      <c r="L236" s="1761"/>
      <c r="M236" s="1761"/>
      <c r="N236" s="1761"/>
      <c r="O236" s="1761"/>
      <c r="P236" s="1761"/>
      <c r="Q236" s="124"/>
      <c r="R236" s="1"/>
      <c r="S236" s="9"/>
      <c r="T236" s="1"/>
      <c r="U236" s="1"/>
      <c r="V236" s="1176"/>
      <c r="W236" s="1176"/>
      <c r="X236" s="1176"/>
      <c r="Y236" s="1177"/>
    </row>
    <row r="237" spans="1:25 16384:16384">
      <c r="B237" s="789"/>
      <c r="D237" s="124"/>
      <c r="E237" s="124"/>
      <c r="F237" s="124"/>
      <c r="G237" s="124"/>
      <c r="H237" s="124"/>
      <c r="I237" s="124"/>
      <c r="J237" s="124"/>
      <c r="K237" s="124"/>
      <c r="L237" s="124"/>
      <c r="M237" s="124"/>
      <c r="N237" s="124"/>
      <c r="O237" s="124"/>
      <c r="P237" s="124"/>
      <c r="Q237" s="123"/>
      <c r="R237" s="1"/>
      <c r="S237" s="48"/>
      <c r="V237" s="21"/>
      <c r="W237" s="21"/>
      <c r="X237" s="21"/>
      <c r="Y237" s="165"/>
    </row>
    <row r="238" spans="1:25 16384:16384">
      <c r="B238" s="789"/>
      <c r="D238" s="124"/>
      <c r="E238" s="124"/>
      <c r="F238" s="124"/>
      <c r="G238" s="124"/>
      <c r="H238" s="124"/>
      <c r="I238" s="124"/>
      <c r="J238" s="124"/>
      <c r="K238" s="124"/>
      <c r="L238" s="124"/>
      <c r="M238" s="124"/>
      <c r="N238" s="124"/>
      <c r="O238" s="124"/>
      <c r="P238" s="124"/>
      <c r="Q238" s="123"/>
      <c r="R238" s="1"/>
      <c r="S238" s="48"/>
      <c r="V238" s="21"/>
      <c r="W238" s="21"/>
      <c r="X238" s="21"/>
      <c r="Y238" s="165"/>
    </row>
    <row r="239" spans="1:25 16384:16384">
      <c r="B239" s="789"/>
      <c r="D239" s="124"/>
      <c r="E239" s="124"/>
      <c r="F239" s="124"/>
      <c r="G239" s="124"/>
      <c r="H239" s="124"/>
      <c r="I239" s="124"/>
      <c r="J239" s="124"/>
      <c r="K239" s="124"/>
      <c r="L239" s="124"/>
      <c r="M239" s="124"/>
      <c r="N239" s="124"/>
      <c r="O239" s="124"/>
      <c r="P239" s="124"/>
      <c r="Q239" s="123"/>
      <c r="R239" s="1"/>
      <c r="S239" s="48"/>
      <c r="V239" s="21"/>
      <c r="W239" s="21"/>
      <c r="X239" s="21"/>
      <c r="Y239" s="165"/>
    </row>
    <row r="240" spans="1:25 16384:16384">
      <c r="B240" s="789"/>
      <c r="D240" s="124"/>
      <c r="E240" s="124"/>
      <c r="F240" s="124"/>
      <c r="G240" s="124"/>
      <c r="H240" s="124"/>
      <c r="I240" s="124"/>
      <c r="J240" s="124"/>
      <c r="K240" s="124"/>
      <c r="L240" s="124"/>
      <c r="M240" s="124"/>
      <c r="N240" s="124"/>
      <c r="O240" s="124"/>
      <c r="P240" s="124"/>
      <c r="Q240" s="123"/>
      <c r="R240" s="1"/>
      <c r="S240" s="48"/>
      <c r="V240" s="21"/>
      <c r="W240" s="21"/>
      <c r="X240" s="21"/>
      <c r="Y240" s="165"/>
    </row>
    <row r="241" spans="1:25" s="1164" customFormat="1" ht="15" customHeight="1">
      <c r="B241" s="1165"/>
      <c r="C241" s="1166"/>
      <c r="P241" s="1166"/>
      <c r="Q241" s="1166"/>
      <c r="R241" s="1166"/>
      <c r="S241" s="1172"/>
      <c r="V241" s="1167"/>
      <c r="W241" s="1168"/>
      <c r="X241" s="1168"/>
      <c r="Y241" s="1169"/>
    </row>
    <row r="242" spans="1:25" s="1164" customFormat="1" ht="18.5">
      <c r="A242" s="1184"/>
      <c r="B242" s="1179"/>
      <c r="C242" s="1178"/>
      <c r="I242" s="1812" t="str">
        <f>Text!C85</f>
        <v>Angebot und Erreichbarkeit</v>
      </c>
      <c r="J242" s="1812"/>
      <c r="K242" s="1812"/>
      <c r="L242" s="1812"/>
      <c r="M242" s="1812"/>
      <c r="N242" s="1812"/>
      <c r="O242" s="1812"/>
      <c r="P242" s="1812"/>
      <c r="Q242" s="1166"/>
      <c r="R242" s="1166"/>
      <c r="S242" s="1172"/>
      <c r="V242" s="1167"/>
      <c r="W242" s="1168"/>
      <c r="X242" s="1168"/>
      <c r="Y242" s="1169"/>
    </row>
    <row r="243" spans="1:25" s="1164" customFormat="1">
      <c r="B243" s="1179"/>
      <c r="C243" s="1178"/>
      <c r="P243" s="1166"/>
      <c r="Q243" s="1166"/>
      <c r="R243" s="1166"/>
      <c r="S243" s="1172"/>
      <c r="V243" s="1167"/>
      <c r="W243" s="1168"/>
      <c r="X243" s="1168"/>
      <c r="Y243" s="1169"/>
    </row>
    <row r="244" spans="1:25" customFormat="1" ht="14.5" customHeight="1">
      <c r="A244" s="1"/>
      <c r="B244" s="789"/>
      <c r="C244" s="4"/>
      <c r="D244" s="124"/>
      <c r="E244" s="124"/>
      <c r="F244" s="124"/>
      <c r="G244" s="124"/>
      <c r="H244" s="124"/>
      <c r="I244" s="124"/>
      <c r="J244" s="124"/>
      <c r="K244" s="124"/>
      <c r="L244" s="124"/>
      <c r="M244" s="124"/>
      <c r="N244" s="124"/>
      <c r="O244" s="124"/>
      <c r="P244" s="124"/>
      <c r="Q244" s="797"/>
      <c r="S244" s="457"/>
      <c r="V244" s="979"/>
      <c r="W244" s="979"/>
      <c r="X244" s="979"/>
      <c r="Y244" s="980"/>
    </row>
    <row r="245" spans="1:25" s="1186" customFormat="1" ht="15" customHeight="1">
      <c r="B245" s="1165">
        <v>1</v>
      </c>
      <c r="C245" s="1173"/>
      <c r="D245" s="1761" t="str">
        <f>Text!C86</f>
        <v xml:space="preserve">Besteht das Angebot einer angemessenen Grundversorgung für das nähere Projektumfeld (max. 10 Minuten Gehdistanz) und weist es eine gute ÖV-Erschliessung auf? </v>
      </c>
      <c r="E245" s="1761"/>
      <c r="F245" s="1761"/>
      <c r="G245" s="1761"/>
      <c r="H245" s="1761"/>
      <c r="I245" s="1761"/>
      <c r="J245" s="1761"/>
      <c r="K245" s="1761"/>
      <c r="L245" s="1761"/>
      <c r="M245" s="1761"/>
      <c r="N245" s="1761"/>
      <c r="O245" s="1761"/>
      <c r="P245" s="1761"/>
      <c r="Q245" s="1"/>
      <c r="R245" s="1"/>
      <c r="S245" s="48"/>
      <c r="T245" s="1"/>
      <c r="U245" s="1"/>
      <c r="V245" s="1174">
        <f>Text!B86</f>
        <v>121</v>
      </c>
      <c r="W245" s="1176"/>
      <c r="X245" s="1176"/>
      <c r="Y245" s="1183" t="str">
        <f>Text!C22</f>
        <v>Info [5] &amp; [7]</v>
      </c>
    </row>
    <row r="246" spans="1:25" s="1186" customFormat="1" ht="15" customHeight="1">
      <c r="B246" s="1165"/>
      <c r="C246" s="1173"/>
      <c r="D246" s="1761"/>
      <c r="E246" s="1761"/>
      <c r="F246" s="1761"/>
      <c r="G246" s="1761"/>
      <c r="H246" s="1761"/>
      <c r="I246" s="1761"/>
      <c r="J246" s="1761"/>
      <c r="K246" s="1761"/>
      <c r="L246" s="1761"/>
      <c r="M246" s="1761"/>
      <c r="N246" s="1761"/>
      <c r="O246" s="1761"/>
      <c r="P246" s="1761"/>
      <c r="Q246" s="1"/>
      <c r="R246" s="1"/>
      <c r="S246" s="9"/>
      <c r="T246" s="1"/>
      <c r="U246" s="1"/>
      <c r="V246" s="1176"/>
      <c r="W246" s="1176"/>
      <c r="X246" s="1176"/>
      <c r="Y246" s="1177"/>
    </row>
    <row r="247" spans="1:25" customFormat="1" ht="14.5" hidden="1" customHeight="1">
      <c r="A247" s="1"/>
      <c r="B247" s="789"/>
      <c r="C247" s="4"/>
      <c r="D247" s="124"/>
      <c r="E247" s="124"/>
      <c r="F247" s="124"/>
      <c r="G247" s="124"/>
      <c r="H247" s="124"/>
      <c r="I247" s="124"/>
      <c r="J247" s="124"/>
      <c r="K247" s="124"/>
      <c r="L247" s="124"/>
      <c r="M247" s="124"/>
      <c r="N247" s="124"/>
      <c r="O247" s="124"/>
      <c r="P247" s="124"/>
      <c r="Q247" s="797"/>
      <c r="S247" s="457"/>
      <c r="V247" s="979"/>
      <c r="W247" s="979"/>
      <c r="X247" s="979"/>
      <c r="Y247" s="980"/>
    </row>
    <row r="248" spans="1:25" s="1186" customFormat="1" ht="15" hidden="1" customHeight="1">
      <c r="B248" s="1165"/>
      <c r="C248" s="1173"/>
      <c r="D248" s="1761" t="str">
        <f>Text!C87</f>
        <v>Weist das Gebäude bzw. das Grundstück ÖV-Güteklasse B oder besser auf?</v>
      </c>
      <c r="E248" s="1761"/>
      <c r="F248" s="1761"/>
      <c r="G248" s="1761"/>
      <c r="H248" s="1761"/>
      <c r="I248" s="1761"/>
      <c r="J248" s="1761"/>
      <c r="K248" s="1761"/>
      <c r="L248" s="1761"/>
      <c r="M248" s="1761"/>
      <c r="N248" s="1761"/>
      <c r="O248" s="1761"/>
      <c r="P248" s="1761"/>
      <c r="Q248" s="1"/>
      <c r="R248" s="1"/>
      <c r="S248" s="48"/>
      <c r="T248" s="1"/>
      <c r="U248" s="1"/>
      <c r="V248" s="1174"/>
      <c r="W248" s="1176"/>
      <c r="X248" s="1176"/>
      <c r="Y248" s="1183"/>
    </row>
    <row r="249" spans="1:25" s="1186" customFormat="1" ht="15" hidden="1" customHeight="1">
      <c r="B249" s="1165"/>
      <c r="C249" s="1173"/>
      <c r="D249" s="1761"/>
      <c r="E249" s="1761"/>
      <c r="F249" s="1761"/>
      <c r="G249" s="1761"/>
      <c r="H249" s="1761"/>
      <c r="I249" s="1761"/>
      <c r="J249" s="1761"/>
      <c r="K249" s="1761"/>
      <c r="L249" s="1761"/>
      <c r="M249" s="1761"/>
      <c r="N249" s="1761"/>
      <c r="O249" s="1761"/>
      <c r="P249" s="1761"/>
      <c r="Q249" s="1"/>
      <c r="R249" s="1"/>
      <c r="S249" s="1223"/>
      <c r="T249" s="1"/>
      <c r="U249" s="1"/>
      <c r="V249" s="1176"/>
      <c r="W249" s="1176"/>
      <c r="X249" s="1176"/>
      <c r="Y249" s="1177"/>
    </row>
    <row r="250" spans="1:25" ht="15" hidden="1" customHeight="1">
      <c r="B250" s="789"/>
      <c r="D250" s="23"/>
      <c r="E250" s="23"/>
      <c r="F250" s="23"/>
      <c r="G250" s="23"/>
      <c r="H250" s="23"/>
      <c r="I250" s="23"/>
      <c r="J250" s="23"/>
      <c r="K250" s="23"/>
      <c r="L250" s="23"/>
      <c r="M250" s="23"/>
      <c r="N250" s="23"/>
      <c r="O250" s="23"/>
      <c r="P250" s="23"/>
      <c r="Q250" s="1"/>
      <c r="R250" s="1"/>
      <c r="S250" s="48"/>
      <c r="V250" s="23"/>
      <c r="W250" s="23"/>
      <c r="X250" s="23"/>
      <c r="Y250" s="185"/>
    </row>
    <row r="251" spans="1:25" s="1186" customFormat="1" ht="15" hidden="1" customHeight="1">
      <c r="B251" s="1165"/>
      <c r="C251" s="1173"/>
      <c r="D251" s="1761" t="str">
        <f>Text!C88</f>
        <v>Liegt das Gebäude in der Nähe eines Ladens mit einem Basisangebot für den täglichen Einkauf (sichere Trottoir-Gehdistanz &lt; 500 m)?</v>
      </c>
      <c r="E251" s="1761"/>
      <c r="F251" s="1761"/>
      <c r="G251" s="1761"/>
      <c r="H251" s="1761"/>
      <c r="I251" s="1761"/>
      <c r="J251" s="1761"/>
      <c r="K251" s="1761"/>
      <c r="L251" s="1761"/>
      <c r="M251" s="1761"/>
      <c r="N251" s="1761"/>
      <c r="O251" s="1761"/>
      <c r="P251" s="1761"/>
      <c r="Q251" s="1"/>
      <c r="R251" s="1"/>
      <c r="S251" s="48"/>
      <c r="T251" s="1"/>
      <c r="U251" s="1"/>
      <c r="V251" s="1174"/>
      <c r="W251" s="1176"/>
      <c r="X251" s="1176"/>
      <c r="Y251" s="1183"/>
    </row>
    <row r="252" spans="1:25" s="1186" customFormat="1" ht="15" hidden="1" customHeight="1">
      <c r="B252" s="1165"/>
      <c r="C252" s="1173"/>
      <c r="D252" s="1761"/>
      <c r="E252" s="1761"/>
      <c r="F252" s="1761"/>
      <c r="G252" s="1761"/>
      <c r="H252" s="1761"/>
      <c r="I252" s="1761"/>
      <c r="J252" s="1761"/>
      <c r="K252" s="1761"/>
      <c r="L252" s="1761"/>
      <c r="M252" s="1761"/>
      <c r="N252" s="1761"/>
      <c r="O252" s="1761"/>
      <c r="P252" s="1761"/>
      <c r="Q252" s="1"/>
      <c r="R252" s="1"/>
      <c r="S252" s="9"/>
      <c r="T252" s="1"/>
      <c r="U252" s="1"/>
      <c r="V252" s="1176"/>
      <c r="W252" s="1176"/>
      <c r="X252" s="1176"/>
      <c r="Y252" s="1177"/>
    </row>
    <row r="253" spans="1:25" ht="15" hidden="1" customHeight="1">
      <c r="B253" s="789"/>
      <c r="D253" s="23"/>
      <c r="E253" s="23"/>
      <c r="F253" s="23"/>
      <c r="G253" s="23"/>
      <c r="H253" s="23"/>
      <c r="I253" s="23"/>
      <c r="J253" s="23"/>
      <c r="K253" s="23"/>
      <c r="L253" s="23"/>
      <c r="M253" s="23"/>
      <c r="N253" s="23"/>
      <c r="O253" s="23"/>
      <c r="P253" s="23"/>
      <c r="Q253" s="1"/>
      <c r="R253" s="1"/>
      <c r="S253" s="48"/>
      <c r="V253" s="23"/>
      <c r="W253" s="23"/>
      <c r="X253" s="23"/>
      <c r="Y253" s="185"/>
    </row>
    <row r="254" spans="1:25" s="1186" customFormat="1" ht="15" hidden="1" customHeight="1">
      <c r="B254" s="1165"/>
      <c r="C254" s="1173"/>
      <c r="D254" s="1761" t="str">
        <f>Text!C89</f>
        <v>Sind zielgruppenentsprechende gastronomische Angebote (z. B. Restaurant, Café, Mensa, Take-away) im Umfeld oder in der geplanten Liegenschaft vorhanden? (Gehdistanz &lt; 500 m)</v>
      </c>
      <c r="E254" s="1761"/>
      <c r="F254" s="1761"/>
      <c r="G254" s="1761"/>
      <c r="H254" s="1761"/>
      <c r="I254" s="1761"/>
      <c r="J254" s="1761"/>
      <c r="K254" s="1761"/>
      <c r="L254" s="1761"/>
      <c r="M254" s="1761"/>
      <c r="N254" s="1761"/>
      <c r="O254" s="1761"/>
      <c r="P254" s="1761"/>
      <c r="Q254" s="1"/>
      <c r="R254" s="1"/>
      <c r="S254" s="48"/>
      <c r="T254" s="1"/>
      <c r="U254" s="1"/>
      <c r="V254" s="1174"/>
      <c r="W254" s="1176"/>
      <c r="X254" s="1176"/>
      <c r="Y254" s="1183"/>
    </row>
    <row r="255" spans="1:25" s="1186" customFormat="1" ht="15" hidden="1" customHeight="1">
      <c r="B255" s="1165"/>
      <c r="C255" s="1173"/>
      <c r="D255" s="1761"/>
      <c r="E255" s="1761"/>
      <c r="F255" s="1761"/>
      <c r="G255" s="1761"/>
      <c r="H255" s="1761"/>
      <c r="I255" s="1761"/>
      <c r="J255" s="1761"/>
      <c r="K255" s="1761"/>
      <c r="L255" s="1761"/>
      <c r="M255" s="1761"/>
      <c r="N255" s="1761"/>
      <c r="O255" s="1761"/>
      <c r="P255" s="1761"/>
      <c r="Q255" s="1"/>
      <c r="R255" s="1"/>
      <c r="S255" s="9"/>
      <c r="T255" s="1"/>
      <c r="U255" s="1"/>
      <c r="V255" s="1176"/>
      <c r="W255" s="1176"/>
      <c r="X255" s="1176"/>
      <c r="Y255" s="1177"/>
    </row>
    <row r="256" spans="1:25" ht="15" hidden="1" customHeight="1">
      <c r="B256" s="789"/>
      <c r="D256" s="23"/>
      <c r="E256" s="23"/>
      <c r="F256" s="23"/>
      <c r="G256" s="23"/>
      <c r="H256" s="23"/>
      <c r="I256" s="23"/>
      <c r="J256" s="23"/>
      <c r="K256" s="23"/>
      <c r="L256" s="23"/>
      <c r="M256" s="23"/>
      <c r="N256" s="23"/>
      <c r="O256" s="23"/>
      <c r="P256" s="23"/>
      <c r="Q256" s="1"/>
      <c r="R256" s="1"/>
      <c r="S256" s="48"/>
      <c r="V256" s="23"/>
      <c r="W256" s="23"/>
      <c r="X256" s="23"/>
      <c r="Y256" s="185"/>
    </row>
    <row r="257" spans="1:25" s="1186" customFormat="1" ht="15" hidden="1" customHeight="1">
      <c r="B257" s="1165"/>
      <c r="C257" s="1173"/>
      <c r="D257" s="1761" t="str">
        <f>Text!C90</f>
        <v>Sind zielgruppenentsprechende Freiräume zur Erholung (z. B. Aussenräume mit Sitzgelegenheiten, Parkanlagen) im Umfeld oder in der geplanten Liegenschaft vorhanden? (Gehdistanz &lt; 500 m)</v>
      </c>
      <c r="E257" s="1761"/>
      <c r="F257" s="1761"/>
      <c r="G257" s="1761"/>
      <c r="H257" s="1761"/>
      <c r="I257" s="1761"/>
      <c r="J257" s="1761"/>
      <c r="K257" s="1761"/>
      <c r="L257" s="1761"/>
      <c r="M257" s="1761"/>
      <c r="N257" s="1761"/>
      <c r="O257" s="1761"/>
      <c r="P257" s="1761"/>
      <c r="Q257" s="1"/>
      <c r="R257" s="1"/>
      <c r="S257" s="48"/>
      <c r="T257" s="1"/>
      <c r="U257" s="1"/>
      <c r="V257" s="1174"/>
      <c r="W257" s="1176"/>
      <c r="X257" s="1176"/>
      <c r="Y257" s="1183"/>
    </row>
    <row r="258" spans="1:25" s="1186" customFormat="1" ht="15" hidden="1" customHeight="1">
      <c r="B258" s="1165"/>
      <c r="C258" s="1173"/>
      <c r="D258" s="1761"/>
      <c r="E258" s="1761"/>
      <c r="F258" s="1761"/>
      <c r="G258" s="1761"/>
      <c r="H258" s="1761"/>
      <c r="I258" s="1761"/>
      <c r="J258" s="1761"/>
      <c r="K258" s="1761"/>
      <c r="L258" s="1761"/>
      <c r="M258" s="1761"/>
      <c r="N258" s="1761"/>
      <c r="O258" s="1761"/>
      <c r="P258" s="1761"/>
      <c r="Q258" s="1"/>
      <c r="R258" s="1"/>
      <c r="S258" s="9"/>
      <c r="T258" s="1"/>
      <c r="U258" s="1"/>
      <c r="V258" s="1176"/>
      <c r="W258" s="1176"/>
      <c r="X258" s="1176"/>
      <c r="Y258" s="1177"/>
    </row>
    <row r="259" spans="1:25" ht="15" hidden="1" customHeight="1">
      <c r="B259" s="789"/>
      <c r="D259" s="23"/>
      <c r="E259" s="23"/>
      <c r="F259" s="23"/>
      <c r="G259" s="23"/>
      <c r="H259" s="23"/>
      <c r="I259" s="23"/>
      <c r="J259" s="23"/>
      <c r="K259" s="23"/>
      <c r="L259" s="23"/>
      <c r="M259" s="23"/>
      <c r="N259" s="23"/>
      <c r="O259" s="23"/>
      <c r="P259" s="23"/>
      <c r="Q259" s="1"/>
      <c r="R259" s="1"/>
      <c r="S259" s="48"/>
      <c r="V259" s="23"/>
      <c r="W259" s="23"/>
      <c r="X259" s="23"/>
      <c r="Y259" s="185"/>
    </row>
    <row r="260" spans="1:25" s="1186" customFormat="1" ht="15" hidden="1" customHeight="1">
      <c r="B260" s="1165"/>
      <c r="C260" s="1173"/>
      <c r="D260" s="1761" t="str">
        <f>Text!C91</f>
        <v>Sind soziale Infrastrukturen (z. B. Kindergärten, Schulen, Kinderkrippen, Quartierzentren) im Umfeld oder in der geplanten Liegenschaft vorhanden? (Gehdistanz &lt; 500 m)</v>
      </c>
      <c r="E260" s="1761"/>
      <c r="F260" s="1761"/>
      <c r="G260" s="1761"/>
      <c r="H260" s="1761"/>
      <c r="I260" s="1761"/>
      <c r="J260" s="1761"/>
      <c r="K260" s="1761"/>
      <c r="L260" s="1761"/>
      <c r="M260" s="1761"/>
      <c r="N260" s="1761"/>
      <c r="O260" s="1761"/>
      <c r="P260" s="1761"/>
      <c r="Q260" s="1"/>
      <c r="R260" s="1"/>
      <c r="S260" s="48"/>
      <c r="T260" s="1"/>
      <c r="U260" s="1"/>
      <c r="V260" s="1174"/>
      <c r="W260" s="1176"/>
      <c r="X260" s="1176"/>
      <c r="Y260" s="1183"/>
    </row>
    <row r="261" spans="1:25" s="1186" customFormat="1" ht="15" hidden="1" customHeight="1">
      <c r="B261" s="1165"/>
      <c r="C261" s="1173"/>
      <c r="D261" s="1761"/>
      <c r="E261" s="1761"/>
      <c r="F261" s="1761"/>
      <c r="G261" s="1761"/>
      <c r="H261" s="1761"/>
      <c r="I261" s="1761"/>
      <c r="J261" s="1761"/>
      <c r="K261" s="1761"/>
      <c r="L261" s="1761"/>
      <c r="M261" s="1761"/>
      <c r="N261" s="1761"/>
      <c r="O261" s="1761"/>
      <c r="P261" s="1761"/>
      <c r="Q261" s="1"/>
      <c r="R261" s="1"/>
      <c r="S261" s="9"/>
      <c r="T261" s="1"/>
      <c r="U261" s="1"/>
      <c r="V261" s="1176"/>
      <c r="W261" s="1176"/>
      <c r="X261" s="1176"/>
      <c r="Y261" s="1177"/>
    </row>
    <row r="262" spans="1:25" ht="15" customHeight="1">
      <c r="B262" s="789"/>
      <c r="D262" s="23"/>
      <c r="E262" s="23"/>
      <c r="F262" s="23"/>
      <c r="G262" s="23"/>
      <c r="H262" s="23"/>
      <c r="I262" s="23"/>
      <c r="J262" s="23"/>
      <c r="K262" s="23"/>
      <c r="L262" s="23"/>
      <c r="M262" s="23"/>
      <c r="N262" s="23"/>
      <c r="O262" s="23"/>
      <c r="P262" s="23"/>
      <c r="Q262" s="1"/>
      <c r="R262" s="1"/>
      <c r="S262" s="48"/>
      <c r="V262" s="23"/>
      <c r="W262" s="23"/>
      <c r="X262" s="23"/>
      <c r="Y262" s="185"/>
    </row>
    <row r="263" spans="1:25" s="1164" customFormat="1" ht="15" customHeight="1">
      <c r="A263" s="1184"/>
      <c r="B263" s="1179"/>
      <c r="C263" s="1178"/>
      <c r="D263" s="1793" t="str">
        <f>Text!C92</f>
        <v>Besteht für das nähere Projektumfeld (max. 10 Minuten Gehdistanz) das Angebot einer niederschwellig zugänglichen Erholungsinfrastruktur bei verlängerten Hitzeperioden mit beschatteten Grünflächen, zugänglichen Wasseranlagen und kühlen Innenräumen?</v>
      </c>
      <c r="E263" s="1793"/>
      <c r="F263" s="1793"/>
      <c r="G263" s="1793"/>
      <c r="H263" s="1793"/>
      <c r="I263" s="1793"/>
      <c r="J263" s="1793"/>
      <c r="K263" s="1793"/>
      <c r="L263" s="1793"/>
      <c r="M263" s="1793"/>
      <c r="N263" s="1793"/>
      <c r="O263" s="1793"/>
      <c r="P263" s="1793"/>
      <c r="Q263" s="1"/>
      <c r="R263" s="1"/>
      <c r="S263" s="48"/>
      <c r="T263" s="1"/>
      <c r="U263" s="1"/>
      <c r="V263" s="1174" t="str">
        <f>Text!B92</f>
        <v>K121</v>
      </c>
      <c r="W263" s="1174"/>
      <c r="X263" s="1174"/>
      <c r="Y263" s="1183"/>
    </row>
    <row r="264" spans="1:25" s="1164" customFormat="1" ht="15" customHeight="1">
      <c r="B264" s="1179"/>
      <c r="C264" s="1178"/>
      <c r="D264" s="1793"/>
      <c r="E264" s="1793"/>
      <c r="F264" s="1793"/>
      <c r="G264" s="1793"/>
      <c r="H264" s="1793"/>
      <c r="I264" s="1793"/>
      <c r="J264" s="1793"/>
      <c r="K264" s="1793"/>
      <c r="L264" s="1793"/>
      <c r="M264" s="1793"/>
      <c r="N264" s="1793"/>
      <c r="O264" s="1793"/>
      <c r="P264" s="1793"/>
      <c r="Q264" s="4"/>
      <c r="R264" s="4"/>
      <c r="S264" s="7"/>
      <c r="T264" s="1"/>
      <c r="U264" s="1"/>
      <c r="V264" s="1176"/>
      <c r="W264" s="1176"/>
      <c r="X264" s="1176"/>
      <c r="Y264" s="1177"/>
    </row>
    <row r="265" spans="1:25" ht="15" hidden="1" customHeight="1">
      <c r="B265" s="789"/>
      <c r="D265" s="23"/>
      <c r="E265" s="23"/>
      <c r="F265" s="23"/>
      <c r="G265" s="23"/>
      <c r="H265" s="23"/>
      <c r="I265" s="23"/>
      <c r="J265" s="23"/>
      <c r="K265" s="23"/>
      <c r="L265" s="23"/>
      <c r="M265" s="23"/>
      <c r="N265" s="23"/>
      <c r="O265" s="23"/>
      <c r="P265" s="23"/>
      <c r="Q265" s="1"/>
      <c r="R265" s="1"/>
      <c r="S265" s="48"/>
      <c r="V265" s="23"/>
      <c r="W265" s="23"/>
      <c r="X265" s="23"/>
      <c r="Y265" s="185"/>
    </row>
    <row r="266" spans="1:25" s="1186" customFormat="1" ht="15" hidden="1" customHeight="1">
      <c r="B266" s="1165"/>
      <c r="C266" s="1173"/>
      <c r="D266" s="1761" t="str">
        <f>Text!C93</f>
        <v>Sind öffentliche Grünanlagen mit genügendem Abkühlungspotenzial (Beschattung, Wasserflächen, grossflächige Brunnen) in zehnminütiger Gehdistanz (&lt; 1 km zu Fuss) vom Projektumfeld vorhanden?</v>
      </c>
      <c r="E266" s="1761"/>
      <c r="F266" s="1761"/>
      <c r="G266" s="1761"/>
      <c r="H266" s="1761"/>
      <c r="I266" s="1761"/>
      <c r="J266" s="1761"/>
      <c r="K266" s="1761"/>
      <c r="L266" s="1761"/>
      <c r="M266" s="1761"/>
      <c r="N266" s="1761"/>
      <c r="O266" s="1761"/>
      <c r="P266" s="1761"/>
      <c r="Q266" s="1"/>
      <c r="R266" s="1"/>
      <c r="S266" s="48"/>
      <c r="T266" s="1"/>
      <c r="U266" s="1"/>
      <c r="V266" s="1174"/>
      <c r="W266" s="1176"/>
      <c r="X266" s="1176"/>
      <c r="Y266" s="1183"/>
    </row>
    <row r="267" spans="1:25" s="1186" customFormat="1" ht="15" hidden="1" customHeight="1">
      <c r="B267" s="1165"/>
      <c r="C267" s="1173"/>
      <c r="D267" s="1761"/>
      <c r="E267" s="1761"/>
      <c r="F267" s="1761"/>
      <c r="G267" s="1761"/>
      <c r="H267" s="1761"/>
      <c r="I267" s="1761"/>
      <c r="J267" s="1761"/>
      <c r="K267" s="1761"/>
      <c r="L267" s="1761"/>
      <c r="M267" s="1761"/>
      <c r="N267" s="1761"/>
      <c r="O267" s="1761"/>
      <c r="P267" s="1761"/>
      <c r="Q267" s="1"/>
      <c r="R267" s="1"/>
      <c r="S267" s="9"/>
      <c r="T267" s="1"/>
      <c r="U267" s="1"/>
      <c r="V267" s="1176"/>
      <c r="W267" s="1176"/>
      <c r="X267" s="1176"/>
      <c r="Y267" s="1177"/>
    </row>
    <row r="268" spans="1:25" ht="15" hidden="1" customHeight="1">
      <c r="B268" s="789"/>
      <c r="D268" s="23"/>
      <c r="E268" s="23"/>
      <c r="F268" s="23"/>
      <c r="G268" s="23"/>
      <c r="H268" s="23"/>
      <c r="I268" s="23"/>
      <c r="J268" s="23"/>
      <c r="K268" s="23"/>
      <c r="L268" s="23"/>
      <c r="M268" s="23"/>
      <c r="N268" s="23"/>
      <c r="O268" s="23"/>
      <c r="P268" s="23"/>
      <c r="Q268" s="1"/>
      <c r="R268" s="1"/>
      <c r="S268" s="48"/>
      <c r="V268" s="23"/>
      <c r="W268" s="23"/>
      <c r="X268" s="23"/>
      <c r="Y268" s="185"/>
    </row>
    <row r="269" spans="1:25" s="1186" customFormat="1" ht="15" hidden="1" customHeight="1">
      <c r="B269" s="1165"/>
      <c r="C269" s="1173"/>
      <c r="D269" s="1761" t="str">
        <f>Text!C94</f>
        <v>Sind zugängliche Wasseranlagen (öffentliche Schwimmbäder, Seen, Flüsse, Sprühnebelanlagen, Wasserspielplätze), welche Bademöglichkeiten oder körperliche Abkühlung anbieten im Projektumfeld vorhanden? (Distanz &lt; 2 km zu Fuss)</v>
      </c>
      <c r="E269" s="1761"/>
      <c r="F269" s="1761"/>
      <c r="G269" s="1761"/>
      <c r="H269" s="1761"/>
      <c r="I269" s="1761"/>
      <c r="J269" s="1761"/>
      <c r="K269" s="1761"/>
      <c r="L269" s="1761"/>
      <c r="M269" s="1761"/>
      <c r="N269" s="1761"/>
      <c r="O269" s="1761"/>
      <c r="P269" s="1761"/>
      <c r="Q269" s="1"/>
      <c r="R269" s="1"/>
      <c r="S269" s="48"/>
      <c r="T269" s="1"/>
      <c r="U269" s="1"/>
      <c r="V269" s="1174"/>
      <c r="W269" s="1176"/>
      <c r="X269" s="1176"/>
      <c r="Y269" s="1183"/>
    </row>
    <row r="270" spans="1:25" s="1186" customFormat="1" ht="15" hidden="1" customHeight="1">
      <c r="B270" s="1165"/>
      <c r="C270" s="1173"/>
      <c r="D270" s="1761"/>
      <c r="E270" s="1761"/>
      <c r="F270" s="1761"/>
      <c r="G270" s="1761"/>
      <c r="H270" s="1761"/>
      <c r="I270" s="1761"/>
      <c r="J270" s="1761"/>
      <c r="K270" s="1761"/>
      <c r="L270" s="1761"/>
      <c r="M270" s="1761"/>
      <c r="N270" s="1761"/>
      <c r="O270" s="1761"/>
      <c r="P270" s="1761"/>
      <c r="Q270" s="1"/>
      <c r="R270" s="1"/>
      <c r="S270" s="9"/>
      <c r="T270" s="1"/>
      <c r="U270" s="1"/>
      <c r="V270" s="1176"/>
      <c r="W270" s="1176"/>
      <c r="X270" s="1176"/>
      <c r="Y270" s="1177"/>
    </row>
    <row r="271" spans="1:25" ht="15" hidden="1" customHeight="1">
      <c r="B271" s="789"/>
      <c r="D271" s="23"/>
      <c r="E271" s="23"/>
      <c r="F271" s="23"/>
      <c r="G271" s="23"/>
      <c r="H271" s="23"/>
      <c r="I271" s="23"/>
      <c r="J271" s="23"/>
      <c r="K271" s="23"/>
      <c r="L271" s="23"/>
      <c r="M271" s="23"/>
      <c r="N271" s="23"/>
      <c r="O271" s="23"/>
      <c r="P271" s="23"/>
      <c r="Q271" s="1"/>
      <c r="R271" s="1"/>
      <c r="S271" s="48"/>
      <c r="V271" s="23"/>
      <c r="W271" s="23"/>
      <c r="X271" s="23"/>
      <c r="Y271" s="185"/>
    </row>
    <row r="272" spans="1:25" s="1186" customFormat="1" ht="15" hidden="1" customHeight="1">
      <c r="B272" s="1165"/>
      <c r="C272" s="1173"/>
      <c r="D272" s="1761" t="str">
        <f>Text!C95</f>
        <v>Sind niederschwellig zugängliche, kühle Innenräume im Projektumfeld vorhanden? (Café, Bar, Gemeinschaftszentrum, Jugendzentrum o.ä.?) (Distanz &lt; 1 km zu Fuss)</v>
      </c>
      <c r="E272" s="1761"/>
      <c r="F272" s="1761"/>
      <c r="G272" s="1761"/>
      <c r="H272" s="1761"/>
      <c r="I272" s="1761"/>
      <c r="J272" s="1761"/>
      <c r="K272" s="1761"/>
      <c r="L272" s="1761"/>
      <c r="M272" s="1761"/>
      <c r="N272" s="1761"/>
      <c r="O272" s="1761"/>
      <c r="P272" s="1761"/>
      <c r="Q272" s="1"/>
      <c r="R272" s="1"/>
      <c r="S272" s="48"/>
      <c r="T272" s="1"/>
      <c r="U272" s="1"/>
      <c r="V272" s="1174"/>
      <c r="W272" s="1176"/>
      <c r="X272" s="1176"/>
      <c r="Y272" s="1183"/>
    </row>
    <row r="273" spans="1:25" s="1186" customFormat="1" ht="15" hidden="1" customHeight="1">
      <c r="B273" s="1165"/>
      <c r="C273" s="1173"/>
      <c r="D273" s="1761"/>
      <c r="E273" s="1761"/>
      <c r="F273" s="1761"/>
      <c r="G273" s="1761"/>
      <c r="H273" s="1761"/>
      <c r="I273" s="1761"/>
      <c r="J273" s="1761"/>
      <c r="K273" s="1761"/>
      <c r="L273" s="1761"/>
      <c r="M273" s="1761"/>
      <c r="N273" s="1761"/>
      <c r="O273" s="1761"/>
      <c r="P273" s="1761"/>
      <c r="Q273" s="1"/>
      <c r="R273" s="1"/>
      <c r="S273" s="9"/>
      <c r="T273" s="1"/>
      <c r="U273" s="1"/>
      <c r="V273" s="1176"/>
      <c r="W273" s="1176"/>
      <c r="X273" s="1176"/>
      <c r="Y273" s="1177"/>
    </row>
    <row r="274" spans="1:25" ht="15" customHeight="1">
      <c r="B274" s="789"/>
      <c r="D274" s="23"/>
      <c r="E274" s="23"/>
      <c r="F274" s="23"/>
      <c r="G274" s="23"/>
      <c r="H274" s="23"/>
      <c r="I274" s="23"/>
      <c r="J274" s="23"/>
      <c r="K274" s="23"/>
      <c r="L274" s="23"/>
      <c r="M274" s="23"/>
      <c r="N274" s="23"/>
      <c r="O274" s="23"/>
      <c r="P274" s="23"/>
      <c r="Q274" s="1"/>
      <c r="R274" s="1"/>
      <c r="S274" s="48"/>
      <c r="V274" s="23"/>
      <c r="W274" s="23"/>
      <c r="X274" s="23"/>
      <c r="Y274" s="185"/>
    </row>
    <row r="275" spans="1:25" s="1164" customFormat="1" ht="29.15" customHeight="1">
      <c r="A275" s="1184"/>
      <c r="B275" s="1179"/>
      <c r="C275" s="1178"/>
      <c r="D275" s="1793" t="str">
        <f>Text!C96</f>
        <v>Sind über die die gesetzlichen Vorgaben zum hindernisfreien Bauen hinaus weitere Massnahmen gemäss SIA 500 in den Themenbereichen bauliche Strukturen, Anpassbarkeit und Nutzerfreundlichkeit getroffen, die die den Komfort und die Zugänglichkeit für alle Nutzergruppen verbessern?</v>
      </c>
      <c r="E275" s="1793"/>
      <c r="F275" s="1793"/>
      <c r="G275" s="1793"/>
      <c r="H275" s="1793"/>
      <c r="I275" s="1793"/>
      <c r="J275" s="1793"/>
      <c r="K275" s="1793"/>
      <c r="L275" s="1793"/>
      <c r="M275" s="1793"/>
      <c r="N275" s="1793"/>
      <c r="O275" s="1793"/>
      <c r="P275" s="1793"/>
      <c r="Q275" s="1"/>
      <c r="R275" s="1"/>
      <c r="S275" s="48"/>
      <c r="T275" s="1"/>
      <c r="U275" s="1"/>
      <c r="V275" s="1174">
        <f>Text!B96</f>
        <v>122</v>
      </c>
      <c r="W275" s="1174"/>
      <c r="X275" s="1174"/>
      <c r="Y275" s="1183" t="str">
        <f>Text!C11</f>
        <v>Info [2]</v>
      </c>
    </row>
    <row r="276" spans="1:25" s="1164" customFormat="1" ht="15" customHeight="1">
      <c r="B276" s="1179"/>
      <c r="C276" s="1178"/>
      <c r="D276" s="1794" t="str">
        <f>Text!C612</f>
        <v>SIA 500:2009 «Hindernisfreie Bauten»</v>
      </c>
      <c r="E276" s="1794"/>
      <c r="F276" s="1794"/>
      <c r="G276" s="1794"/>
      <c r="H276" s="1794"/>
      <c r="I276" s="1794"/>
      <c r="J276" s="1794"/>
      <c r="K276" s="1794"/>
      <c r="L276" s="1794"/>
      <c r="M276" s="1794"/>
      <c r="N276" s="1794"/>
      <c r="O276" s="1794"/>
      <c r="P276" s="1794"/>
      <c r="Q276" s="4"/>
      <c r="R276" s="4"/>
      <c r="S276" s="7"/>
      <c r="T276" s="1"/>
      <c r="U276" s="1"/>
      <c r="V276" s="1176"/>
      <c r="W276" s="1176"/>
      <c r="X276" s="1176"/>
      <c r="Y276" s="1177"/>
    </row>
    <row r="277" spans="1:25" ht="15" hidden="1" customHeight="1">
      <c r="B277" s="789"/>
      <c r="D277" s="23"/>
      <c r="E277" s="23"/>
      <c r="F277" s="23"/>
      <c r="G277" s="23"/>
      <c r="H277" s="23"/>
      <c r="I277" s="23"/>
      <c r="J277" s="23"/>
      <c r="K277" s="23"/>
      <c r="L277" s="23"/>
      <c r="M277" s="23"/>
      <c r="N277" s="23"/>
      <c r="O277" s="23"/>
      <c r="P277" s="23"/>
      <c r="Q277" s="1"/>
      <c r="R277" s="1"/>
      <c r="S277" s="48"/>
      <c r="V277" s="23"/>
      <c r="W277" s="23"/>
      <c r="X277" s="23"/>
      <c r="Y277" s="185"/>
    </row>
    <row r="278" spans="1:25" s="1186" customFormat="1" ht="15" hidden="1" customHeight="1">
      <c r="B278" s="1165"/>
      <c r="C278" s="1173"/>
      <c r="D278" s="1761" t="str">
        <f>Text!C97</f>
        <v>Ist die Bewilligungsfähigkeit des Bauprojektes hinsichtlich hindernisfreien Bauens gegeben?</v>
      </c>
      <c r="E278" s="1761"/>
      <c r="F278" s="1761"/>
      <c r="G278" s="1761"/>
      <c r="H278" s="1761"/>
      <c r="I278" s="1761"/>
      <c r="J278" s="1761"/>
      <c r="K278" s="1761"/>
      <c r="L278" s="1761"/>
      <c r="M278" s="1761"/>
      <c r="N278" s="1761"/>
      <c r="O278" s="1761"/>
      <c r="P278" s="1761"/>
      <c r="Q278" s="1"/>
      <c r="R278" s="1"/>
      <c r="S278" s="48"/>
      <c r="T278" s="1"/>
      <c r="U278" s="1"/>
      <c r="V278" s="1174"/>
      <c r="W278" s="1176"/>
      <c r="X278" s="1176"/>
      <c r="Y278" s="1183"/>
    </row>
    <row r="279" spans="1:25" s="1186" customFormat="1" ht="15" hidden="1" customHeight="1">
      <c r="B279" s="1165"/>
      <c r="C279" s="1173"/>
      <c r="D279" s="1761"/>
      <c r="E279" s="1761"/>
      <c r="F279" s="1761"/>
      <c r="G279" s="1761"/>
      <c r="H279" s="1761"/>
      <c r="I279" s="1761"/>
      <c r="J279" s="1761"/>
      <c r="K279" s="1761"/>
      <c r="L279" s="1761"/>
      <c r="M279" s="1761"/>
      <c r="N279" s="1761"/>
      <c r="O279" s="1761"/>
      <c r="P279" s="1761"/>
      <c r="Q279" s="1"/>
      <c r="R279" s="1"/>
      <c r="S279" s="9"/>
      <c r="T279" s="1"/>
      <c r="U279" s="1"/>
      <c r="V279" s="1176"/>
      <c r="W279" s="1176"/>
      <c r="X279" s="1176"/>
      <c r="Y279" s="1177"/>
    </row>
    <row r="280" spans="1:25" ht="15" hidden="1" customHeight="1">
      <c r="B280" s="789"/>
      <c r="D280" s="23"/>
      <c r="E280" s="23"/>
      <c r="F280" s="23"/>
      <c r="G280" s="23"/>
      <c r="H280" s="23"/>
      <c r="I280" s="23"/>
      <c r="J280" s="23"/>
      <c r="K280" s="23"/>
      <c r="L280" s="23"/>
      <c r="M280" s="23"/>
      <c r="N280" s="23"/>
      <c r="O280" s="23"/>
      <c r="P280" s="23"/>
      <c r="Q280" s="1"/>
      <c r="R280" s="1"/>
      <c r="S280" s="48"/>
      <c r="V280" s="23"/>
      <c r="W280" s="23"/>
      <c r="X280" s="23"/>
      <c r="Y280" s="185"/>
    </row>
    <row r="281" spans="1:25" s="1186" customFormat="1" ht="15" hidden="1" customHeight="1">
      <c r="B281" s="1165"/>
      <c r="C281" s="1173"/>
      <c r="D281" s="1761" t="str">
        <f>Text!C98</f>
        <v>Werden erhöhte Anforderungen an bauliche Strukturen umgesetzt? (z. B. Korridore und Wege min. 1.40 m, schwellenfreie Türen, Zwischenpodeste bei Treppen und Rampen, rollstuhlgerechte Parkplätze)</v>
      </c>
      <c r="E281" s="1761"/>
      <c r="F281" s="1761"/>
      <c r="G281" s="1761"/>
      <c r="H281" s="1761"/>
      <c r="I281" s="1761"/>
      <c r="J281" s="1761"/>
      <c r="K281" s="1761"/>
      <c r="L281" s="1761"/>
      <c r="M281" s="1761"/>
      <c r="N281" s="1761"/>
      <c r="O281" s="1761"/>
      <c r="P281" s="1761"/>
      <c r="Q281" s="1"/>
      <c r="R281" s="1"/>
      <c r="S281" s="48"/>
      <c r="T281" s="1"/>
      <c r="U281" s="1"/>
      <c r="V281" s="1174"/>
      <c r="W281" s="1176"/>
      <c r="X281" s="1176"/>
      <c r="Y281" s="1183"/>
    </row>
    <row r="282" spans="1:25" s="1186" customFormat="1" ht="15" hidden="1" customHeight="1">
      <c r="B282" s="1165"/>
      <c r="C282" s="1173"/>
      <c r="D282" s="1761"/>
      <c r="E282" s="1761"/>
      <c r="F282" s="1761"/>
      <c r="G282" s="1761"/>
      <c r="H282" s="1761"/>
      <c r="I282" s="1761"/>
      <c r="J282" s="1761"/>
      <c r="K282" s="1761"/>
      <c r="L282" s="1761"/>
      <c r="M282" s="1761"/>
      <c r="N282" s="1761"/>
      <c r="O282" s="1761"/>
      <c r="P282" s="1761"/>
      <c r="Q282" s="1"/>
      <c r="R282" s="1"/>
      <c r="S282" s="9"/>
      <c r="T282" s="1"/>
      <c r="U282" s="1"/>
      <c r="V282" s="1176"/>
      <c r="W282" s="1176"/>
      <c r="X282" s="1176"/>
      <c r="Y282" s="1177"/>
    </row>
    <row r="283" spans="1:25" ht="15" hidden="1" customHeight="1">
      <c r="B283" s="789"/>
      <c r="D283" s="23"/>
      <c r="E283" s="23"/>
      <c r="F283" s="23"/>
      <c r="G283" s="23"/>
      <c r="H283" s="23"/>
      <c r="I283" s="23"/>
      <c r="J283" s="23"/>
      <c r="K283" s="23"/>
      <c r="L283" s="23"/>
      <c r="M283" s="23"/>
      <c r="N283" s="23"/>
      <c r="O283" s="23"/>
      <c r="P283" s="23"/>
      <c r="Q283" s="1"/>
      <c r="R283" s="1"/>
      <c r="S283" s="48"/>
      <c r="V283" s="23"/>
      <c r="W283" s="23"/>
      <c r="X283" s="23"/>
      <c r="Y283" s="185"/>
    </row>
    <row r="284" spans="1:25" s="1186" customFormat="1" ht="15" hidden="1" customHeight="1">
      <c r="B284" s="1165"/>
      <c r="C284" s="1173"/>
      <c r="D284" s="1761" t="str">
        <f>Text!C99</f>
        <v>Werden erhöhte Anforderungen an die Anpassbarkeit oder Nutzerfreundlichkeit umgesetzt? (z. B. Nachrüstbarkeit von Treppenlift und Handläufen, Massnahmen für Seh- und Hörbehinderte, gute Beleuchtung, nachrüstbare WC-Handgriffe, Sitzgelegenheiten im Eingangsbereich)</v>
      </c>
      <c r="E284" s="1761"/>
      <c r="F284" s="1761"/>
      <c r="G284" s="1761"/>
      <c r="H284" s="1761"/>
      <c r="I284" s="1761"/>
      <c r="J284" s="1761"/>
      <c r="K284" s="1761"/>
      <c r="L284" s="1761"/>
      <c r="M284" s="1761"/>
      <c r="N284" s="1761"/>
      <c r="O284" s="1761"/>
      <c r="P284" s="1761"/>
      <c r="Q284" s="1"/>
      <c r="R284" s="1"/>
      <c r="S284" s="48"/>
      <c r="T284" s="1"/>
      <c r="U284" s="1"/>
      <c r="V284" s="1174"/>
      <c r="W284" s="1176"/>
      <c r="X284" s="1176"/>
      <c r="Y284" s="1183"/>
    </row>
    <row r="285" spans="1:25" s="1186" customFormat="1" ht="15" hidden="1" customHeight="1">
      <c r="B285" s="1165"/>
      <c r="C285" s="1173"/>
      <c r="D285" s="1761"/>
      <c r="E285" s="1761"/>
      <c r="F285" s="1761"/>
      <c r="G285" s="1761"/>
      <c r="H285" s="1761"/>
      <c r="I285" s="1761"/>
      <c r="J285" s="1761"/>
      <c r="K285" s="1761"/>
      <c r="L285" s="1761"/>
      <c r="M285" s="1761"/>
      <c r="N285" s="1761"/>
      <c r="O285" s="1761"/>
      <c r="P285" s="1761"/>
      <c r="Q285" s="1"/>
      <c r="R285" s="1"/>
      <c r="S285" s="9"/>
      <c r="T285" s="1"/>
      <c r="U285" s="1"/>
      <c r="V285" s="1176"/>
      <c r="W285" s="1176"/>
      <c r="X285" s="1176"/>
      <c r="Y285" s="1177"/>
    </row>
    <row r="286" spans="1:25" ht="15" customHeight="1">
      <c r="B286" s="789"/>
      <c r="D286" s="23"/>
      <c r="E286" s="23"/>
      <c r="F286" s="23"/>
      <c r="G286" s="23"/>
      <c r="H286" s="23"/>
      <c r="I286" s="23"/>
      <c r="J286" s="23"/>
      <c r="K286" s="23"/>
      <c r="L286" s="23"/>
      <c r="M286" s="23"/>
      <c r="N286" s="23"/>
      <c r="O286" s="23"/>
      <c r="P286" s="23"/>
      <c r="Q286" s="1"/>
      <c r="R286" s="1"/>
      <c r="S286" s="48"/>
      <c r="V286" s="23"/>
      <c r="W286" s="23"/>
      <c r="X286" s="23"/>
      <c r="Y286" s="185"/>
    </row>
    <row r="287" spans="1:25" s="1186" customFormat="1" ht="15" customHeight="1">
      <c r="B287" s="1165"/>
      <c r="C287" s="1173"/>
      <c r="D287" s="1761" t="str">
        <f>Text!C100</f>
        <v>Stehen im Gebäude hindernisfrei zugängliche Infrastruktur und Räumlichkeiten zur Verfügung, falls Personen infolge von Überhitzung einen Schwächeanfall erleiden (z. B. Trinkwasserspender, Lavabo, Liegeräume)</v>
      </c>
      <c r="E287" s="1761"/>
      <c r="F287" s="1761"/>
      <c r="G287" s="1761"/>
      <c r="H287" s="1761"/>
      <c r="I287" s="1761"/>
      <c r="J287" s="1761"/>
      <c r="K287" s="1761"/>
      <c r="L287" s="1761"/>
      <c r="M287" s="1761"/>
      <c r="N287" s="1761"/>
      <c r="O287" s="1761"/>
      <c r="P287" s="1761"/>
      <c r="Q287" s="1"/>
      <c r="R287" s="1"/>
      <c r="S287" s="48"/>
      <c r="T287" s="1"/>
      <c r="U287" s="1"/>
      <c r="V287" s="1174" t="str">
        <f>Text!B100</f>
        <v>K122</v>
      </c>
      <c r="W287" s="1176"/>
      <c r="X287" s="1176"/>
      <c r="Y287" s="1183"/>
    </row>
    <row r="288" spans="1:25" s="1186" customFormat="1" ht="15" customHeight="1">
      <c r="B288" s="1165"/>
      <c r="C288" s="1173"/>
      <c r="D288" s="1761"/>
      <c r="E288" s="1761"/>
      <c r="F288" s="1761"/>
      <c r="G288" s="1761"/>
      <c r="H288" s="1761"/>
      <c r="I288" s="1761"/>
      <c r="J288" s="1761"/>
      <c r="K288" s="1761"/>
      <c r="L288" s="1761"/>
      <c r="M288" s="1761"/>
      <c r="N288" s="1761"/>
      <c r="O288" s="1761"/>
      <c r="P288" s="1761"/>
      <c r="Q288" s="1"/>
      <c r="R288" s="1"/>
      <c r="S288" s="9"/>
      <c r="T288" s="1"/>
      <c r="U288" s="1"/>
      <c r="V288" s="1176"/>
      <c r="W288" s="1176"/>
      <c r="X288" s="1176"/>
      <c r="Y288" s="1177"/>
    </row>
    <row r="289" spans="2:25" ht="15" hidden="1" customHeight="1">
      <c r="B289" s="789"/>
      <c r="D289" s="23"/>
      <c r="E289" s="23"/>
      <c r="F289" s="23"/>
      <c r="G289" s="23"/>
      <c r="H289" s="23"/>
      <c r="I289" s="23"/>
      <c r="J289" s="23"/>
      <c r="K289" s="23"/>
      <c r="L289" s="23"/>
      <c r="M289" s="23"/>
      <c r="N289" s="23"/>
      <c r="O289" s="23"/>
      <c r="P289" s="23"/>
      <c r="Q289" s="1"/>
      <c r="R289" s="1"/>
      <c r="S289" s="48"/>
      <c r="V289" s="23"/>
      <c r="W289" s="23"/>
      <c r="X289" s="23"/>
      <c r="Y289" s="185"/>
    </row>
    <row r="290" spans="2:25" s="1186" customFormat="1" ht="15" hidden="1" customHeight="1">
      <c r="B290" s="1165"/>
      <c r="C290" s="1173"/>
      <c r="D290" s="1761" t="str">
        <f>Text!C101</f>
        <v>Werden Anschlüsse und Flächenbedarf für Wasserspender in öffentlichen Bereichen ausgewiesen?</v>
      </c>
      <c r="E290" s="1761"/>
      <c r="F290" s="1761"/>
      <c r="G290" s="1761"/>
      <c r="H290" s="1761"/>
      <c r="I290" s="1761"/>
      <c r="J290" s="1761"/>
      <c r="K290" s="1761"/>
      <c r="L290" s="1761"/>
      <c r="M290" s="1761"/>
      <c r="N290" s="1761"/>
      <c r="O290" s="1761"/>
      <c r="P290" s="1761"/>
      <c r="Q290" s="1"/>
      <c r="R290" s="1"/>
      <c r="S290" s="48"/>
      <c r="T290" s="1"/>
      <c r="U290" s="1"/>
      <c r="V290" s="1174"/>
      <c r="W290" s="1176"/>
      <c r="X290" s="1176"/>
      <c r="Y290" s="1183"/>
    </row>
    <row r="291" spans="2:25" s="1186" customFormat="1" ht="15" hidden="1" customHeight="1">
      <c r="B291" s="1165"/>
      <c r="C291" s="1173"/>
      <c r="D291" s="1761"/>
      <c r="E291" s="1761"/>
      <c r="F291" s="1761"/>
      <c r="G291" s="1761"/>
      <c r="H291" s="1761"/>
      <c r="I291" s="1761"/>
      <c r="J291" s="1761"/>
      <c r="K291" s="1761"/>
      <c r="L291" s="1761"/>
      <c r="M291" s="1761"/>
      <c r="N291" s="1761"/>
      <c r="O291" s="1761"/>
      <c r="P291" s="1761"/>
      <c r="Q291" s="1"/>
      <c r="R291" s="1"/>
      <c r="S291" s="9"/>
      <c r="T291" s="1"/>
      <c r="U291" s="1"/>
      <c r="V291" s="1176"/>
      <c r="W291" s="1176"/>
      <c r="X291" s="1176"/>
      <c r="Y291" s="1177"/>
    </row>
    <row r="292" spans="2:25" ht="15" hidden="1" customHeight="1">
      <c r="B292" s="789"/>
      <c r="D292" s="23"/>
      <c r="E292" s="23"/>
      <c r="F292" s="23"/>
      <c r="G292" s="23"/>
      <c r="H292" s="23"/>
      <c r="I292" s="23"/>
      <c r="J292" s="23"/>
      <c r="K292" s="23"/>
      <c r="L292" s="23"/>
      <c r="M292" s="23"/>
      <c r="N292" s="23"/>
      <c r="O292" s="23"/>
      <c r="P292" s="23"/>
      <c r="Q292" s="1"/>
      <c r="R292" s="1"/>
      <c r="S292" s="48"/>
      <c r="V292" s="23"/>
      <c r="W292" s="23"/>
      <c r="X292" s="23"/>
      <c r="Y292" s="185"/>
    </row>
    <row r="293" spans="2:25" s="1186" customFormat="1" ht="15" hidden="1" customHeight="1">
      <c r="B293" s="1165"/>
      <c r="C293" s="1173"/>
      <c r="D293" s="1761" t="str">
        <f>Text!C102</f>
        <v>Werden Räumlichkeiten oder Infrastruktur zur raschen Abkühlung bzw. zur Erholung in Hitzeperioden ausgewiesen? (z. B. öffentlich zugängliche Lavabo oder Liegeräume) («Ja» bei reinen Wohnbauten)</v>
      </c>
      <c r="E293" s="1761"/>
      <c r="F293" s="1761"/>
      <c r="G293" s="1761"/>
      <c r="H293" s="1761"/>
      <c r="I293" s="1761"/>
      <c r="J293" s="1761"/>
      <c r="K293" s="1761"/>
      <c r="L293" s="1761"/>
      <c r="M293" s="1761"/>
      <c r="N293" s="1761"/>
      <c r="O293" s="1761"/>
      <c r="P293" s="1761"/>
      <c r="Q293" s="1"/>
      <c r="R293" s="1"/>
      <c r="S293" s="48"/>
      <c r="T293" s="1"/>
      <c r="U293" s="1"/>
      <c r="V293" s="1174"/>
      <c r="W293" s="1176"/>
      <c r="X293" s="1176"/>
      <c r="Y293" s="1183"/>
    </row>
    <row r="294" spans="2:25" s="1186" customFormat="1" ht="15" hidden="1" customHeight="1">
      <c r="B294" s="1165"/>
      <c r="C294" s="1173"/>
      <c r="D294" s="1761"/>
      <c r="E294" s="1761"/>
      <c r="F294" s="1761"/>
      <c r="G294" s="1761"/>
      <c r="H294" s="1761"/>
      <c r="I294" s="1761"/>
      <c r="J294" s="1761"/>
      <c r="K294" s="1761"/>
      <c r="L294" s="1761"/>
      <c r="M294" s="1761"/>
      <c r="N294" s="1761"/>
      <c r="O294" s="1761"/>
      <c r="P294" s="1761"/>
      <c r="Q294" s="1"/>
      <c r="R294" s="1"/>
      <c r="S294" s="9"/>
      <c r="T294" s="1"/>
      <c r="U294" s="1"/>
      <c r="V294" s="1176"/>
      <c r="W294" s="1176"/>
      <c r="X294" s="1176"/>
      <c r="Y294" s="1177"/>
    </row>
    <row r="295" spans="2:25" ht="15" hidden="1" customHeight="1">
      <c r="B295" s="789"/>
      <c r="D295" s="23"/>
      <c r="E295" s="23"/>
      <c r="F295" s="23"/>
      <c r="G295" s="23"/>
      <c r="H295" s="23"/>
      <c r="I295" s="23"/>
      <c r="J295" s="23"/>
      <c r="K295" s="23"/>
      <c r="L295" s="23"/>
      <c r="M295" s="23"/>
      <c r="N295" s="23"/>
      <c r="O295" s="23"/>
      <c r="P295" s="23"/>
      <c r="Q295" s="1"/>
      <c r="R295" s="1"/>
      <c r="S295" s="48"/>
      <c r="V295" s="23"/>
      <c r="W295" s="23"/>
      <c r="X295" s="23"/>
      <c r="Y295" s="185"/>
    </row>
    <row r="296" spans="2:25" s="1186" customFormat="1" ht="15" hidden="1" customHeight="1">
      <c r="B296" s="1165"/>
      <c r="C296" s="1173"/>
      <c r="D296" s="1761" t="str">
        <f>Text!C103</f>
        <v>Ist das angedachte Kühl- und Erholungsangebot auch jederzeit hindernisfrei zugänglich?</v>
      </c>
      <c r="E296" s="1761"/>
      <c r="F296" s="1761"/>
      <c r="G296" s="1761"/>
      <c r="H296" s="1761"/>
      <c r="I296" s="1761"/>
      <c r="J296" s="1761"/>
      <c r="K296" s="1761"/>
      <c r="L296" s="1761"/>
      <c r="M296" s="1761"/>
      <c r="N296" s="1761"/>
      <c r="O296" s="1761"/>
      <c r="P296" s="1761"/>
      <c r="Q296" s="1"/>
      <c r="R296" s="1"/>
      <c r="S296" s="48"/>
      <c r="T296" s="1"/>
      <c r="U296" s="1"/>
      <c r="V296" s="1174"/>
      <c r="W296" s="1176"/>
      <c r="X296" s="1176"/>
      <c r="Y296" s="1183"/>
    </row>
    <row r="297" spans="2:25" s="1186" customFormat="1" ht="15" hidden="1" customHeight="1">
      <c r="B297" s="1165"/>
      <c r="C297" s="1173"/>
      <c r="D297" s="1761"/>
      <c r="E297" s="1761"/>
      <c r="F297" s="1761"/>
      <c r="G297" s="1761"/>
      <c r="H297" s="1761"/>
      <c r="I297" s="1761"/>
      <c r="J297" s="1761"/>
      <c r="K297" s="1761"/>
      <c r="L297" s="1761"/>
      <c r="M297" s="1761"/>
      <c r="N297" s="1761"/>
      <c r="O297" s="1761"/>
      <c r="P297" s="1761"/>
      <c r="Q297" s="1"/>
      <c r="R297" s="1"/>
      <c r="S297" s="9"/>
      <c r="T297" s="1"/>
      <c r="U297" s="1"/>
      <c r="V297" s="1176"/>
      <c r="W297" s="1176"/>
      <c r="X297" s="1176"/>
      <c r="Y297" s="1177"/>
    </row>
    <row r="298" spans="2:25" s="1441" customFormat="1" ht="15" customHeight="1">
      <c r="B298" s="1437"/>
      <c r="C298" s="1438"/>
      <c r="D298" s="1439"/>
      <c r="E298" s="1439"/>
      <c r="F298" s="1439"/>
      <c r="G298" s="1439"/>
      <c r="H298" s="1439"/>
      <c r="I298" s="1439"/>
      <c r="J298" s="1439"/>
      <c r="K298" s="1439"/>
      <c r="L298" s="1439"/>
      <c r="M298" s="1439"/>
      <c r="N298" s="1439"/>
      <c r="O298" s="1439"/>
      <c r="P298" s="1439"/>
      <c r="Q298" s="1438"/>
      <c r="R298" s="1438"/>
      <c r="S298" s="1440"/>
      <c r="V298" s="1438"/>
      <c r="W298" s="1438"/>
      <c r="X298" s="1438"/>
      <c r="Y298" s="1442"/>
    </row>
    <row r="299" spans="2:25" s="1441" customFormat="1" ht="15" customHeight="1">
      <c r="B299" s="1437"/>
      <c r="C299" s="1438"/>
      <c r="D299" s="1439"/>
      <c r="E299" s="1439"/>
      <c r="F299" s="1439"/>
      <c r="G299" s="1439"/>
      <c r="H299" s="1439"/>
      <c r="I299" s="1439"/>
      <c r="J299" s="1439"/>
      <c r="K299" s="1439"/>
      <c r="L299" s="1439"/>
      <c r="M299" s="1439"/>
      <c r="N299" s="1439"/>
      <c r="O299" s="1439"/>
      <c r="P299" s="1439"/>
      <c r="Q299" s="1438"/>
      <c r="R299" s="1438"/>
      <c r="S299" s="1440"/>
      <c r="V299" s="1438"/>
      <c r="W299" s="1438"/>
      <c r="X299" s="1438"/>
      <c r="Y299" s="1442"/>
    </row>
    <row r="300" spans="2:25" s="1441" customFormat="1" ht="15" customHeight="1">
      <c r="B300" s="1437"/>
      <c r="C300" s="1438"/>
      <c r="D300" s="1439"/>
      <c r="E300" s="1439"/>
      <c r="F300" s="1439"/>
      <c r="G300" s="1439"/>
      <c r="H300" s="1439"/>
      <c r="I300" s="1439"/>
      <c r="J300" s="1439"/>
      <c r="K300" s="1439"/>
      <c r="L300" s="1439"/>
      <c r="M300" s="1439"/>
      <c r="N300" s="1439"/>
      <c r="O300" s="1439"/>
      <c r="P300" s="1439"/>
      <c r="Q300" s="1438"/>
      <c r="R300" s="1438"/>
      <c r="S300" s="1440"/>
      <c r="V300" s="1438"/>
      <c r="W300" s="1438"/>
      <c r="X300" s="1438"/>
      <c r="Y300" s="1442"/>
    </row>
    <row r="301" spans="2:25" s="1441" customFormat="1" ht="15" customHeight="1">
      <c r="B301" s="1437"/>
      <c r="C301" s="1438"/>
      <c r="D301" s="1439"/>
      <c r="E301" s="1439"/>
      <c r="F301" s="1439"/>
      <c r="G301" s="1439"/>
      <c r="H301" s="1439"/>
      <c r="I301" s="1439"/>
      <c r="J301" s="1439"/>
      <c r="K301" s="1439"/>
      <c r="L301" s="1439"/>
      <c r="M301" s="1439"/>
      <c r="N301" s="1439"/>
      <c r="O301" s="1439"/>
      <c r="P301" s="1439"/>
      <c r="S301" s="1443"/>
      <c r="V301" s="1439"/>
      <c r="W301" s="1439"/>
      <c r="X301" s="1439"/>
      <c r="Y301" s="1444"/>
    </row>
    <row r="302" spans="2:25" s="1164" customFormat="1">
      <c r="B302" s="1165"/>
      <c r="C302" s="1166"/>
      <c r="S302" s="1187"/>
      <c r="V302" s="1176"/>
      <c r="W302" s="1176"/>
      <c r="X302" s="1176"/>
      <c r="Y302" s="1177"/>
    </row>
    <row r="303" spans="2:25" s="1164" customFormat="1" ht="18.5">
      <c r="B303" s="1170"/>
      <c r="C303" s="1171"/>
      <c r="I303" s="1812" t="str">
        <f>Text!C104</f>
        <v>Gebrauchsqualität</v>
      </c>
      <c r="J303" s="1812"/>
      <c r="K303" s="1812"/>
      <c r="L303" s="1812"/>
      <c r="M303" s="1812"/>
      <c r="N303" s="1812"/>
      <c r="O303" s="1812"/>
      <c r="P303" s="1812"/>
      <c r="S303" s="1187"/>
      <c r="V303" s="1176"/>
      <c r="W303" s="1176"/>
      <c r="X303" s="1176"/>
      <c r="Y303" s="1177"/>
    </row>
    <row r="304" spans="2:25" s="1164" customFormat="1">
      <c r="B304" s="1165"/>
      <c r="C304" s="1166"/>
      <c r="P304" s="1166"/>
      <c r="Q304" s="1166"/>
      <c r="R304" s="1166"/>
      <c r="S304" s="1172"/>
      <c r="V304" s="1176"/>
      <c r="W304" s="1176"/>
      <c r="X304" s="1176"/>
      <c r="Y304" s="1177"/>
    </row>
    <row r="305" spans="1:25">
      <c r="B305" s="789"/>
      <c r="P305" s="1"/>
      <c r="Q305" s="1"/>
      <c r="R305" s="1"/>
      <c r="S305" s="48"/>
      <c r="V305" s="21"/>
      <c r="W305" s="21"/>
      <c r="X305" s="21"/>
      <c r="Y305" s="165"/>
    </row>
    <row r="306" spans="1:25" s="1186" customFormat="1" ht="15" customHeight="1">
      <c r="B306" s="1165"/>
      <c r="C306" s="1173"/>
      <c r="D306" s="1761" t="str">
        <f>Text!C105</f>
        <v>Werden Innen- und Aussenräume geplant, welche niederschwellig Begegnungen und soziale Interaktion ermöglichen?</v>
      </c>
      <c r="E306" s="1761"/>
      <c r="F306" s="1761"/>
      <c r="G306" s="1761"/>
      <c r="H306" s="1761"/>
      <c r="I306" s="1761"/>
      <c r="J306" s="1761"/>
      <c r="K306" s="1761"/>
      <c r="L306" s="1761"/>
      <c r="M306" s="1761"/>
      <c r="N306" s="1761"/>
      <c r="O306" s="1761"/>
      <c r="P306" s="1761"/>
      <c r="Q306" s="1"/>
      <c r="R306" s="1"/>
      <c r="S306" s="48"/>
      <c r="T306" s="1"/>
      <c r="U306" s="1"/>
      <c r="V306" s="1174">
        <f>Text!B105</f>
        <v>131</v>
      </c>
      <c r="W306" s="1176"/>
      <c r="X306" s="1176"/>
      <c r="Y306" s="1183"/>
    </row>
    <row r="307" spans="1:25" s="1186" customFormat="1" ht="15" customHeight="1">
      <c r="B307" s="1165"/>
      <c r="C307" s="1173"/>
      <c r="D307" s="1761"/>
      <c r="E307" s="1761"/>
      <c r="F307" s="1761"/>
      <c r="G307" s="1761"/>
      <c r="H307" s="1761"/>
      <c r="I307" s="1761"/>
      <c r="J307" s="1761"/>
      <c r="K307" s="1761"/>
      <c r="L307" s="1761"/>
      <c r="M307" s="1761"/>
      <c r="N307" s="1761"/>
      <c r="O307" s="1761"/>
      <c r="P307" s="1761"/>
      <c r="Q307" s="1"/>
      <c r="R307" s="1"/>
      <c r="S307" s="9"/>
      <c r="T307" s="1"/>
      <c r="U307" s="1"/>
      <c r="V307" s="1176"/>
      <c r="W307" s="1176"/>
      <c r="X307" s="1176"/>
      <c r="Y307" s="1177"/>
    </row>
    <row r="308" spans="1:25" s="123" customFormat="1" ht="15" hidden="1" customHeight="1">
      <c r="A308" s="1"/>
      <c r="B308" s="789"/>
      <c r="C308" s="4"/>
      <c r="D308" s="124"/>
      <c r="E308" s="124"/>
      <c r="F308" s="124"/>
      <c r="G308" s="124"/>
      <c r="H308" s="124"/>
      <c r="I308" s="124"/>
      <c r="J308" s="124"/>
      <c r="K308" s="124"/>
      <c r="L308" s="124"/>
      <c r="M308" s="124"/>
      <c r="N308" s="124"/>
      <c r="O308" s="124"/>
      <c r="P308" s="124"/>
      <c r="Q308" s="1"/>
      <c r="R308" s="1"/>
      <c r="S308" s="48"/>
      <c r="T308" s="1"/>
      <c r="U308" s="1"/>
      <c r="V308" s="21"/>
      <c r="W308" s="21"/>
      <c r="X308" s="21"/>
      <c r="Y308" s="165"/>
    </row>
    <row r="309" spans="1:25" s="1186" customFormat="1" ht="15" hidden="1" customHeight="1">
      <c r="B309" s="1165"/>
      <c r="C309" s="1173"/>
      <c r="D309" s="1761" t="str">
        <f>Text!C106</f>
        <v>Stehen zugängliche Aussenräume in Gehdistanz (&lt; 5 Min.) oder auf dem Grundstück zur Verfügung, welche Begegnungen zwischen Nutzenden begünstigen?</v>
      </c>
      <c r="E309" s="1761"/>
      <c r="F309" s="1761"/>
      <c r="G309" s="1761"/>
      <c r="H309" s="1761"/>
      <c r="I309" s="1761"/>
      <c r="J309" s="1761"/>
      <c r="K309" s="1761"/>
      <c r="L309" s="1761"/>
      <c r="M309" s="1761"/>
      <c r="N309" s="1761"/>
      <c r="O309" s="1761"/>
      <c r="P309" s="1761"/>
      <c r="Q309" s="1"/>
      <c r="R309" s="1"/>
      <c r="S309" s="48"/>
      <c r="T309" s="1"/>
      <c r="U309" s="1"/>
      <c r="V309" s="1174"/>
      <c r="W309" s="1176"/>
      <c r="X309" s="1176"/>
      <c r="Y309" s="1183"/>
    </row>
    <row r="310" spans="1:25" s="1186" customFormat="1" ht="15" hidden="1" customHeight="1">
      <c r="B310" s="1165"/>
      <c r="C310" s="1173"/>
      <c r="D310" s="1761"/>
      <c r="E310" s="1761"/>
      <c r="F310" s="1761"/>
      <c r="G310" s="1761"/>
      <c r="H310" s="1761"/>
      <c r="I310" s="1761"/>
      <c r="J310" s="1761"/>
      <c r="K310" s="1761"/>
      <c r="L310" s="1761"/>
      <c r="M310" s="1761"/>
      <c r="N310" s="1761"/>
      <c r="O310" s="1761"/>
      <c r="P310" s="1761"/>
      <c r="Q310" s="1"/>
      <c r="R310" s="1"/>
      <c r="S310" s="9"/>
      <c r="T310" s="1"/>
      <c r="U310" s="1"/>
      <c r="V310" s="1176"/>
      <c r="W310" s="1176"/>
      <c r="X310" s="1176"/>
      <c r="Y310" s="1177"/>
    </row>
    <row r="311" spans="1:25" s="123" customFormat="1" ht="15" hidden="1" customHeight="1">
      <c r="A311" s="1"/>
      <c r="B311" s="789"/>
      <c r="C311" s="4"/>
      <c r="D311" s="124"/>
      <c r="E311" s="124"/>
      <c r="F311" s="124"/>
      <c r="G311" s="124"/>
      <c r="H311" s="124"/>
      <c r="I311" s="124"/>
      <c r="J311" s="124"/>
      <c r="K311" s="124"/>
      <c r="L311" s="124"/>
      <c r="M311" s="124"/>
      <c r="N311" s="124"/>
      <c r="O311" s="124"/>
      <c r="P311" s="124"/>
      <c r="Q311" s="1"/>
      <c r="R311" s="1"/>
      <c r="S311" s="48"/>
      <c r="T311" s="1"/>
      <c r="U311" s="1"/>
      <c r="V311" s="21"/>
      <c r="W311" s="21"/>
      <c r="X311" s="21"/>
      <c r="Y311" s="165"/>
    </row>
    <row r="312" spans="1:25" s="1186" customFormat="1" ht="15" hidden="1" customHeight="1">
      <c r="B312" s="1165"/>
      <c r="C312" s="1173"/>
      <c r="D312" s="1761" t="str">
        <f>Text!C107</f>
        <v>Steht ein gemeinschaftlich nutzbares Raumangebot für verschiedene Parteien von Nutzenden oder Externen in Gehdistanz 
(&lt; 5 Min.) oder im Gebäude zur Verfügung?</v>
      </c>
      <c r="E312" s="1761"/>
      <c r="F312" s="1761"/>
      <c r="G312" s="1761"/>
      <c r="H312" s="1761"/>
      <c r="I312" s="1761"/>
      <c r="J312" s="1761"/>
      <c r="K312" s="1761"/>
      <c r="L312" s="1761"/>
      <c r="M312" s="1761"/>
      <c r="N312" s="1761"/>
      <c r="O312" s="1761"/>
      <c r="P312" s="1761"/>
      <c r="Q312" s="1"/>
      <c r="R312" s="1"/>
      <c r="S312" s="48"/>
      <c r="T312" s="1"/>
      <c r="U312" s="1"/>
      <c r="V312" s="1174"/>
      <c r="W312" s="1176"/>
      <c r="X312" s="1176"/>
      <c r="Y312" s="1183"/>
    </row>
    <row r="313" spans="1:25" s="1186" customFormat="1" ht="15" hidden="1" customHeight="1">
      <c r="B313" s="1165"/>
      <c r="C313" s="1173"/>
      <c r="D313" s="1761"/>
      <c r="E313" s="1761"/>
      <c r="F313" s="1761"/>
      <c r="G313" s="1761"/>
      <c r="H313" s="1761"/>
      <c r="I313" s="1761"/>
      <c r="J313" s="1761"/>
      <c r="K313" s="1761"/>
      <c r="L313" s="1761"/>
      <c r="M313" s="1761"/>
      <c r="N313" s="1761"/>
      <c r="O313" s="1761"/>
      <c r="P313" s="1761"/>
      <c r="Q313" s="1"/>
      <c r="R313" s="1"/>
      <c r="S313" s="9"/>
      <c r="T313" s="1"/>
      <c r="U313" s="1"/>
      <c r="V313" s="1176"/>
      <c r="W313" s="1176"/>
      <c r="X313" s="1176"/>
      <c r="Y313" s="1177"/>
    </row>
    <row r="314" spans="1:25" s="123" customFormat="1" ht="15" hidden="1" customHeight="1">
      <c r="A314" s="1"/>
      <c r="B314" s="789"/>
      <c r="C314" s="4"/>
      <c r="D314" s="124"/>
      <c r="E314" s="124"/>
      <c r="F314" s="124"/>
      <c r="G314" s="124"/>
      <c r="H314" s="124"/>
      <c r="I314" s="124"/>
      <c r="J314" s="124"/>
      <c r="K314" s="124"/>
      <c r="L314" s="124"/>
      <c r="M314" s="124"/>
      <c r="N314" s="124"/>
      <c r="O314" s="124"/>
      <c r="P314" s="124"/>
      <c r="Q314" s="1"/>
      <c r="R314" s="1"/>
      <c r="S314" s="48"/>
      <c r="T314" s="1"/>
      <c r="U314" s="1"/>
      <c r="V314" s="21"/>
      <c r="W314" s="21"/>
      <c r="X314" s="21"/>
      <c r="Y314" s="165"/>
    </row>
    <row r="315" spans="1:25" s="1186" customFormat="1" ht="15" hidden="1" customHeight="1">
      <c r="B315" s="1165"/>
      <c r="C315" s="1173"/>
      <c r="D315" s="1761" t="str">
        <f>Text!C108</f>
        <v xml:space="preserve">Besteht ein Gestaltungs- und Nutzungskonzept zu sogenannten Schwellenräumen, welche den Übergang zwischen öffentlichen und privaten Räumen kennzeichnen (z. B. Hauseingänge, Treppenräume, Korridore, Terrassen)? </v>
      </c>
      <c r="E315" s="1761"/>
      <c r="F315" s="1761"/>
      <c r="G315" s="1761"/>
      <c r="H315" s="1761"/>
      <c r="I315" s="1761"/>
      <c r="J315" s="1761"/>
      <c r="K315" s="1761"/>
      <c r="L315" s="1761"/>
      <c r="M315" s="1761"/>
      <c r="N315" s="1761"/>
      <c r="O315" s="1761"/>
      <c r="P315" s="1761"/>
      <c r="Q315" s="1"/>
      <c r="R315" s="1"/>
      <c r="S315" s="48"/>
      <c r="T315" s="1"/>
      <c r="U315" s="1"/>
      <c r="V315" s="1174"/>
      <c r="W315" s="1176"/>
      <c r="X315" s="1176"/>
      <c r="Y315" s="1183"/>
    </row>
    <row r="316" spans="1:25" s="1186" customFormat="1" ht="15" hidden="1" customHeight="1">
      <c r="B316" s="1165"/>
      <c r="C316" s="1173"/>
      <c r="D316" s="1761"/>
      <c r="E316" s="1761"/>
      <c r="F316" s="1761"/>
      <c r="G316" s="1761"/>
      <c r="H316" s="1761"/>
      <c r="I316" s="1761"/>
      <c r="J316" s="1761"/>
      <c r="K316" s="1761"/>
      <c r="L316" s="1761"/>
      <c r="M316" s="1761"/>
      <c r="N316" s="1761"/>
      <c r="O316" s="1761"/>
      <c r="P316" s="1761"/>
      <c r="Q316" s="1"/>
      <c r="R316" s="1"/>
      <c r="S316" s="9"/>
      <c r="T316" s="1"/>
      <c r="U316" s="1"/>
      <c r="V316" s="1176"/>
      <c r="W316" s="1176"/>
      <c r="X316" s="1176"/>
      <c r="Y316" s="1177"/>
    </row>
    <row r="317" spans="1:25" s="123" customFormat="1" ht="15" hidden="1" customHeight="1">
      <c r="A317" s="1"/>
      <c r="B317" s="789"/>
      <c r="C317" s="4"/>
      <c r="D317" s="124"/>
      <c r="E317" s="124"/>
      <c r="F317" s="124"/>
      <c r="G317" s="124"/>
      <c r="H317" s="124"/>
      <c r="I317" s="124"/>
      <c r="J317" s="124"/>
      <c r="K317" s="124"/>
      <c r="L317" s="124"/>
      <c r="M317" s="124"/>
      <c r="N317" s="124"/>
      <c r="O317" s="124"/>
      <c r="P317" s="124"/>
      <c r="Q317" s="1"/>
      <c r="R317" s="1"/>
      <c r="S317" s="48"/>
      <c r="T317" s="1"/>
      <c r="U317" s="1"/>
      <c r="V317" s="21"/>
      <c r="W317" s="21"/>
      <c r="X317" s="21"/>
      <c r="Y317" s="165"/>
    </row>
    <row r="318" spans="1:25" s="1186" customFormat="1" ht="15" hidden="1" customHeight="1">
      <c r="B318" s="1165"/>
      <c r="C318" s="1173"/>
      <c r="D318" s="1761" t="str">
        <f>Text!C109</f>
        <v>Wird die Gestaltung und Qualitätssicherung der (halb)öffentlichen Räume auch im Betrieb mit Beteiligung der Nutzenden gewährleistet?</v>
      </c>
      <c r="E318" s="1761"/>
      <c r="F318" s="1761"/>
      <c r="G318" s="1761"/>
      <c r="H318" s="1761"/>
      <c r="I318" s="1761"/>
      <c r="J318" s="1761"/>
      <c r="K318" s="1761"/>
      <c r="L318" s="1761"/>
      <c r="M318" s="1761"/>
      <c r="N318" s="1761"/>
      <c r="O318" s="1761"/>
      <c r="P318" s="1761"/>
      <c r="Q318" s="1"/>
      <c r="R318" s="1"/>
      <c r="S318" s="48"/>
      <c r="T318" s="1"/>
      <c r="U318" s="1"/>
      <c r="V318" s="1174"/>
      <c r="W318" s="1176"/>
      <c r="X318" s="1176"/>
      <c r="Y318" s="1183"/>
    </row>
    <row r="319" spans="1:25" s="1186" customFormat="1" ht="15" hidden="1" customHeight="1">
      <c r="B319" s="1165"/>
      <c r="C319" s="1173"/>
      <c r="D319" s="1761"/>
      <c r="E319" s="1761"/>
      <c r="F319" s="1761"/>
      <c r="G319" s="1761"/>
      <c r="H319" s="1761"/>
      <c r="I319" s="1761"/>
      <c r="J319" s="1761"/>
      <c r="K319" s="1761"/>
      <c r="L319" s="1761"/>
      <c r="M319" s="1761"/>
      <c r="N319" s="1761"/>
      <c r="O319" s="1761"/>
      <c r="P319" s="1761"/>
      <c r="Q319" s="1"/>
      <c r="R319" s="1"/>
      <c r="S319" s="9"/>
      <c r="T319" s="1"/>
      <c r="U319" s="1"/>
      <c r="V319" s="1176"/>
      <c r="W319" s="1176"/>
      <c r="X319" s="1176"/>
      <c r="Y319" s="1177"/>
    </row>
    <row r="320" spans="1:25" s="123" customFormat="1" ht="15" customHeight="1">
      <c r="A320" s="1"/>
      <c r="B320" s="789"/>
      <c r="C320" s="4"/>
      <c r="D320" s="124"/>
      <c r="E320" s="124"/>
      <c r="F320" s="124"/>
      <c r="G320" s="124"/>
      <c r="H320" s="124"/>
      <c r="I320" s="124"/>
      <c r="J320" s="124"/>
      <c r="K320" s="124"/>
      <c r="L320" s="124"/>
      <c r="M320" s="124"/>
      <c r="N320" s="124"/>
      <c r="O320" s="124"/>
      <c r="P320" s="125"/>
      <c r="Q320" s="4"/>
      <c r="R320" s="4"/>
      <c r="S320" s="48"/>
      <c r="T320" s="1"/>
      <c r="U320" s="1"/>
      <c r="V320" s="21"/>
      <c r="W320" s="21"/>
      <c r="X320" s="21"/>
      <c r="Y320" s="165"/>
    </row>
    <row r="321" spans="1:25" s="1186" customFormat="1" ht="15" customHeight="1">
      <c r="B321" s="1165"/>
      <c r="C321" s="1173"/>
      <c r="D321" s="1761" t="str">
        <f>Text!C110</f>
        <v>Stehen beim Bauvorhaben gemeinschaftliche, niederschwellig zugängliche Abkühlungsangebote im Innen- und Aussenbereich mit angemessener Infrastruktur 
(z. B. Beschattung, Möblierung) zur Verfü-gung, welche während Hitzeperioden eine hohe Aufenthaltsqualität anbieten?</v>
      </c>
      <c r="E321" s="1761"/>
      <c r="F321" s="1761"/>
      <c r="G321" s="1761"/>
      <c r="H321" s="1761"/>
      <c r="I321" s="1761"/>
      <c r="J321" s="1761"/>
      <c r="K321" s="1761"/>
      <c r="L321" s="1761"/>
      <c r="M321" s="1761"/>
      <c r="N321" s="1761"/>
      <c r="O321" s="1761"/>
      <c r="P321" s="1761"/>
      <c r="Q321" s="1"/>
      <c r="R321" s="1"/>
      <c r="S321" s="48"/>
      <c r="T321" s="1"/>
      <c r="U321" s="1"/>
      <c r="V321" s="1174" t="str">
        <f>Text!B110</f>
        <v>K131</v>
      </c>
      <c r="W321" s="1176"/>
      <c r="X321" s="1176"/>
      <c r="Y321" s="1183"/>
    </row>
    <row r="322" spans="1:25" s="1186" customFormat="1" ht="15" customHeight="1">
      <c r="B322" s="1165"/>
      <c r="C322" s="1173"/>
      <c r="D322" s="1761"/>
      <c r="E322" s="1761"/>
      <c r="F322" s="1761"/>
      <c r="G322" s="1761"/>
      <c r="H322" s="1761"/>
      <c r="I322" s="1761"/>
      <c r="J322" s="1761"/>
      <c r="K322" s="1761"/>
      <c r="L322" s="1761"/>
      <c r="M322" s="1761"/>
      <c r="N322" s="1761"/>
      <c r="O322" s="1761"/>
      <c r="P322" s="1761"/>
      <c r="Q322" s="1"/>
      <c r="R322" s="1"/>
      <c r="S322" s="9"/>
      <c r="T322" s="1"/>
      <c r="U322" s="1"/>
      <c r="V322" s="1176"/>
      <c r="W322" s="1176"/>
      <c r="X322" s="1176"/>
      <c r="Y322" s="1177"/>
    </row>
    <row r="323" spans="1:25" s="123" customFormat="1" ht="15" hidden="1" customHeight="1">
      <c r="A323" s="982"/>
      <c r="B323" s="983"/>
      <c r="C323" s="984"/>
      <c r="D323" s="124"/>
      <c r="E323" s="124"/>
      <c r="F323" s="124"/>
      <c r="G323" s="124"/>
      <c r="H323" s="124"/>
      <c r="I323" s="124"/>
      <c r="J323" s="124"/>
      <c r="K323" s="124"/>
      <c r="L323" s="124"/>
      <c r="M323" s="124"/>
      <c r="N323" s="124"/>
      <c r="O323" s="124"/>
      <c r="P323" s="125"/>
      <c r="Q323" s="4"/>
      <c r="R323" s="4"/>
      <c r="S323" s="48"/>
      <c r="T323" s="1"/>
      <c r="U323" s="1"/>
      <c r="V323" s="21"/>
      <c r="W323" s="21"/>
      <c r="X323" s="21"/>
      <c r="Y323" s="165"/>
    </row>
    <row r="324" spans="1:25" s="1186" customFormat="1" ht="15" hidden="1" customHeight="1">
      <c r="B324" s="1165"/>
      <c r="C324" s="1173"/>
      <c r="D324" s="1761" t="str">
        <f>Text!C111</f>
        <v>Stehen beim Bauvorhaben gemeinschaftliche niederschwellig zugängliche  Innenräume zur Verfügung, welche während Hitzeperioden ein angenehmes Klima aufweisen?</v>
      </c>
      <c r="E324" s="1761"/>
      <c r="F324" s="1761"/>
      <c r="G324" s="1761"/>
      <c r="H324" s="1761"/>
      <c r="I324" s="1761"/>
      <c r="J324" s="1761"/>
      <c r="K324" s="1761"/>
      <c r="L324" s="1761"/>
      <c r="M324" s="1761"/>
      <c r="N324" s="1761"/>
      <c r="O324" s="1761"/>
      <c r="P324" s="1761"/>
      <c r="Q324" s="1"/>
      <c r="R324" s="1"/>
      <c r="S324" s="48"/>
      <c r="T324" s="1"/>
      <c r="U324" s="1"/>
      <c r="V324" s="1174"/>
      <c r="W324" s="1176"/>
      <c r="X324" s="1176"/>
      <c r="Y324" s="1183"/>
    </row>
    <row r="325" spans="1:25" s="1186" customFormat="1" ht="15" hidden="1" customHeight="1">
      <c r="B325" s="1165"/>
      <c r="C325" s="1173"/>
      <c r="D325" s="1761"/>
      <c r="E325" s="1761"/>
      <c r="F325" s="1761"/>
      <c r="G325" s="1761"/>
      <c r="H325" s="1761"/>
      <c r="I325" s="1761"/>
      <c r="J325" s="1761"/>
      <c r="K325" s="1761"/>
      <c r="L325" s="1761"/>
      <c r="M325" s="1761"/>
      <c r="N325" s="1761"/>
      <c r="O325" s="1761"/>
      <c r="P325" s="1761"/>
      <c r="Q325" s="1"/>
      <c r="R325" s="1"/>
      <c r="S325" s="9"/>
      <c r="T325" s="1"/>
      <c r="U325" s="1"/>
      <c r="V325" s="1176"/>
      <c r="W325" s="1176"/>
      <c r="X325" s="1176"/>
      <c r="Y325" s="1177"/>
    </row>
    <row r="326" spans="1:25" ht="15" hidden="1" customHeight="1">
      <c r="B326" s="789"/>
      <c r="D326" s="125"/>
      <c r="E326" s="125"/>
      <c r="F326" s="125"/>
      <c r="G326" s="125"/>
      <c r="H326" s="125"/>
      <c r="I326" s="125"/>
      <c r="J326" s="125"/>
      <c r="K326" s="125"/>
      <c r="L326" s="125"/>
      <c r="M326" s="125"/>
      <c r="N326" s="125"/>
      <c r="O326" s="125"/>
      <c r="P326" s="125"/>
      <c r="Q326" s="1"/>
      <c r="R326" s="1"/>
      <c r="S326" s="48"/>
      <c r="V326" s="1"/>
      <c r="Y326" s="1"/>
    </row>
    <row r="327" spans="1:25" s="1186" customFormat="1" ht="15" hidden="1" customHeight="1">
      <c r="B327" s="1165"/>
      <c r="C327" s="1173"/>
      <c r="D327" s="1761" t="str">
        <f>Text!C112</f>
        <v>Sind Gemeinschaftsräume mit hoher Aufenthaltsqualität vorgesehen, die als Treffpunkt für die Gebäudenutzenden dienen und auch künftig ein angemessenes Abkühlungsangebot anbieten?</v>
      </c>
      <c r="E327" s="1761"/>
      <c r="F327" s="1761"/>
      <c r="G327" s="1761"/>
      <c r="H327" s="1761"/>
      <c r="I327" s="1761"/>
      <c r="J327" s="1761"/>
      <c r="K327" s="1761"/>
      <c r="L327" s="1761"/>
      <c r="M327" s="1761"/>
      <c r="N327" s="1761"/>
      <c r="O327" s="1761"/>
      <c r="P327" s="1761"/>
      <c r="Q327" s="1"/>
      <c r="R327" s="1"/>
      <c r="S327" s="48"/>
      <c r="T327" s="1"/>
      <c r="U327" s="1"/>
      <c r="V327" s="1174"/>
      <c r="W327" s="1176"/>
      <c r="X327" s="1176"/>
      <c r="Y327" s="1183"/>
    </row>
    <row r="328" spans="1:25" s="1186" customFormat="1" ht="15" hidden="1" customHeight="1">
      <c r="B328" s="1165"/>
      <c r="C328" s="1173"/>
      <c r="D328" s="1761"/>
      <c r="E328" s="1761"/>
      <c r="F328" s="1761"/>
      <c r="G328" s="1761"/>
      <c r="H328" s="1761"/>
      <c r="I328" s="1761"/>
      <c r="J328" s="1761"/>
      <c r="K328" s="1761"/>
      <c r="L328" s="1761"/>
      <c r="M328" s="1761"/>
      <c r="N328" s="1761"/>
      <c r="O328" s="1761"/>
      <c r="P328" s="1761"/>
      <c r="Q328" s="1"/>
      <c r="R328" s="1"/>
      <c r="S328" s="9"/>
      <c r="T328" s="1"/>
      <c r="U328" s="1"/>
      <c r="V328" s="1176"/>
      <c r="W328" s="1176"/>
      <c r="X328" s="1176"/>
      <c r="Y328" s="1177"/>
    </row>
    <row r="329" spans="1:25" hidden="1">
      <c r="B329" s="789"/>
      <c r="D329" s="124"/>
      <c r="E329" s="124"/>
      <c r="F329" s="124"/>
      <c r="G329" s="124"/>
      <c r="H329" s="124"/>
      <c r="I329" s="124"/>
      <c r="J329" s="124"/>
      <c r="K329" s="124"/>
      <c r="L329" s="124"/>
      <c r="M329" s="124"/>
      <c r="N329" s="124"/>
      <c r="O329" s="124"/>
      <c r="P329" s="124"/>
      <c r="Q329" s="123"/>
      <c r="R329" s="1"/>
      <c r="S329" s="48"/>
      <c r="V329" s="21"/>
      <c r="W329" s="21"/>
      <c r="X329" s="21"/>
      <c r="Y329" s="165"/>
    </row>
    <row r="330" spans="1:25" s="1186" customFormat="1" ht="15" hidden="1" customHeight="1">
      <c r="B330" s="1165"/>
      <c r="C330" s="1173"/>
      <c r="D330" s="1761" t="str">
        <f>Text!C113</f>
        <v>Wird die Umgebungsgestaltung beim Bauvorhaben so konzipiert, dass sie eine angemessene abkühlende Beschattung der Gebäudenutzenden anbietet?</v>
      </c>
      <c r="E330" s="1761"/>
      <c r="F330" s="1761"/>
      <c r="G330" s="1761"/>
      <c r="H330" s="1761"/>
      <c r="I330" s="1761"/>
      <c r="J330" s="1761"/>
      <c r="K330" s="1761"/>
      <c r="L330" s="1761"/>
      <c r="M330" s="1761"/>
      <c r="N330" s="1761"/>
      <c r="O330" s="1761"/>
      <c r="P330" s="1761"/>
      <c r="Q330" s="1"/>
      <c r="R330" s="1"/>
      <c r="S330" s="48"/>
      <c r="T330" s="1"/>
      <c r="U330" s="1"/>
      <c r="V330" s="1174"/>
      <c r="W330" s="1176"/>
      <c r="X330" s="1176"/>
      <c r="Y330" s="1183"/>
    </row>
    <row r="331" spans="1:25" s="1186" customFormat="1" ht="15" hidden="1" customHeight="1">
      <c r="B331" s="1165"/>
      <c r="C331" s="1173"/>
      <c r="D331" s="1761"/>
      <c r="E331" s="1761"/>
      <c r="F331" s="1761"/>
      <c r="G331" s="1761"/>
      <c r="H331" s="1761"/>
      <c r="I331" s="1761"/>
      <c r="J331" s="1761"/>
      <c r="K331" s="1761"/>
      <c r="L331" s="1761"/>
      <c r="M331" s="1761"/>
      <c r="N331" s="1761"/>
      <c r="O331" s="1761"/>
      <c r="P331" s="1761"/>
      <c r="Q331" s="1"/>
      <c r="R331" s="1"/>
      <c r="S331" s="9"/>
      <c r="T331" s="1"/>
      <c r="U331" s="1"/>
      <c r="V331" s="1176"/>
      <c r="W331" s="1176"/>
      <c r="X331" s="1176"/>
      <c r="Y331" s="1177"/>
    </row>
    <row r="332" spans="1:25" hidden="1">
      <c r="B332" s="789"/>
      <c r="D332" s="124"/>
      <c r="E332" s="124"/>
      <c r="F332" s="124"/>
      <c r="G332" s="124"/>
      <c r="H332" s="124"/>
      <c r="I332" s="124"/>
      <c r="J332" s="124"/>
      <c r="K332" s="124"/>
      <c r="L332" s="124"/>
      <c r="M332" s="124"/>
      <c r="N332" s="124"/>
      <c r="O332" s="124"/>
      <c r="P332" s="124"/>
      <c r="Q332" s="123"/>
      <c r="R332" s="1"/>
      <c r="S332" s="48"/>
      <c r="V332" s="21"/>
      <c r="W332" s="21"/>
      <c r="X332" s="21"/>
      <c r="Y332" s="165"/>
    </row>
    <row r="333" spans="1:25" s="1186" customFormat="1" ht="15" hidden="1" customHeight="1">
      <c r="B333" s="1165"/>
      <c r="C333" s="1173"/>
      <c r="D333" s="1761" t="str">
        <f>Text!C114</f>
        <v>Wird eine angemessene Infrastruktur zur Verfügung gestellt (z. B. Gartenmöblierung), welche die Nutzung von beschatteten Aussenanlagen fördert?</v>
      </c>
      <c r="E333" s="1761"/>
      <c r="F333" s="1761"/>
      <c r="G333" s="1761"/>
      <c r="H333" s="1761"/>
      <c r="I333" s="1761"/>
      <c r="J333" s="1761"/>
      <c r="K333" s="1761"/>
      <c r="L333" s="1761"/>
      <c r="M333" s="1761"/>
      <c r="N333" s="1761"/>
      <c r="O333" s="1761"/>
      <c r="P333" s="1761"/>
      <c r="Q333" s="1"/>
      <c r="R333" s="1"/>
      <c r="S333" s="48"/>
      <c r="T333" s="1"/>
      <c r="U333" s="1"/>
      <c r="V333" s="1174"/>
      <c r="W333" s="1176"/>
      <c r="X333" s="1176"/>
      <c r="Y333" s="1183"/>
    </row>
    <row r="334" spans="1:25" s="1186" customFormat="1" ht="15" hidden="1" customHeight="1">
      <c r="B334" s="1165"/>
      <c r="C334" s="1173"/>
      <c r="D334" s="1761"/>
      <c r="E334" s="1761"/>
      <c r="F334" s="1761"/>
      <c r="G334" s="1761"/>
      <c r="H334" s="1761"/>
      <c r="I334" s="1761"/>
      <c r="J334" s="1761"/>
      <c r="K334" s="1761"/>
      <c r="L334" s="1761"/>
      <c r="M334" s="1761"/>
      <c r="N334" s="1761"/>
      <c r="O334" s="1761"/>
      <c r="P334" s="1761"/>
      <c r="Q334" s="1"/>
      <c r="R334" s="1"/>
      <c r="S334" s="9"/>
      <c r="T334" s="1"/>
      <c r="U334" s="1"/>
      <c r="V334" s="1176"/>
      <c r="W334" s="1176"/>
      <c r="X334" s="1176"/>
      <c r="Y334" s="1177"/>
    </row>
    <row r="335" spans="1:25">
      <c r="B335" s="789"/>
      <c r="D335" s="124"/>
      <c r="E335" s="124"/>
      <c r="F335" s="124"/>
      <c r="G335" s="124"/>
      <c r="H335" s="124"/>
      <c r="I335" s="124"/>
      <c r="J335" s="124"/>
      <c r="K335" s="124"/>
      <c r="L335" s="124"/>
      <c r="M335" s="124"/>
      <c r="N335" s="124"/>
      <c r="O335" s="124"/>
      <c r="P335" s="124"/>
      <c r="Q335" s="123"/>
      <c r="R335" s="1"/>
      <c r="S335" s="48"/>
      <c r="V335" s="21"/>
      <c r="W335" s="21"/>
      <c r="X335" s="21"/>
      <c r="Y335" s="165"/>
    </row>
    <row r="336" spans="1:25" s="1164" customFormat="1" ht="15" customHeight="1">
      <c r="B336" s="1165"/>
      <c r="C336" s="1173"/>
      <c r="D336" s="1761" t="str">
        <f>Text!C115</f>
        <v>Wird beim Bauvorhaben das Sicherheitsgefühl der Nutzenden bewusst gestärkt, indem die Erschliessungs- und Verkehrsflächen im Gebäude, auf dem Grundstück sowie in der näheren Umgebung durch gezielte Beleuchtung und sicherheitsorientierte Wegführung übersichtlich bzw. benutzerfreundlich gestaltet sind?</v>
      </c>
      <c r="E336" s="1761"/>
      <c r="F336" s="1761"/>
      <c r="G336" s="1761"/>
      <c r="H336" s="1761"/>
      <c r="I336" s="1761"/>
      <c r="J336" s="1761"/>
      <c r="K336" s="1761"/>
      <c r="L336" s="1761"/>
      <c r="M336" s="1761"/>
      <c r="N336" s="1761"/>
      <c r="O336" s="1761"/>
      <c r="P336" s="1761"/>
      <c r="Q336" s="124"/>
      <c r="R336" s="1"/>
      <c r="S336" s="48"/>
      <c r="T336" s="1"/>
      <c r="U336" s="1"/>
      <c r="V336" s="1176">
        <f>Text!B115</f>
        <v>132</v>
      </c>
      <c r="W336" s="1176"/>
      <c r="X336" s="1176"/>
      <c r="Y336" s="1177"/>
    </row>
    <row r="337" spans="1:25" s="1164" customFormat="1">
      <c r="B337" s="1165"/>
      <c r="C337" s="1166"/>
      <c r="D337" s="1761"/>
      <c r="E337" s="1761"/>
      <c r="F337" s="1761"/>
      <c r="G337" s="1761"/>
      <c r="H337" s="1761"/>
      <c r="I337" s="1761"/>
      <c r="J337" s="1761"/>
      <c r="K337" s="1761"/>
      <c r="L337" s="1761"/>
      <c r="M337" s="1761"/>
      <c r="N337" s="1761"/>
      <c r="O337" s="1761"/>
      <c r="P337" s="1761"/>
      <c r="Q337" s="124"/>
      <c r="R337" s="1"/>
      <c r="S337" s="9"/>
      <c r="T337" s="1"/>
      <c r="U337" s="1"/>
      <c r="V337" s="1176"/>
      <c r="W337" s="1176"/>
      <c r="X337" s="1176"/>
      <c r="Y337" s="1177"/>
    </row>
    <row r="338" spans="1:25" hidden="1">
      <c r="B338" s="789"/>
      <c r="D338" s="124"/>
      <c r="E338" s="124"/>
      <c r="F338" s="124"/>
      <c r="G338" s="124"/>
      <c r="H338" s="124"/>
      <c r="I338" s="124"/>
      <c r="J338" s="124"/>
      <c r="K338" s="124"/>
      <c r="L338" s="124"/>
      <c r="M338" s="124"/>
      <c r="N338" s="124"/>
      <c r="O338" s="124"/>
      <c r="P338" s="124"/>
      <c r="Q338" s="123"/>
      <c r="R338" s="1"/>
      <c r="S338" s="48"/>
      <c r="V338" s="21"/>
      <c r="W338" s="21"/>
      <c r="X338" s="21"/>
      <c r="Y338" s="165"/>
    </row>
    <row r="339" spans="1:25" s="1186" customFormat="1" ht="15" hidden="1" customHeight="1">
      <c r="B339" s="1165"/>
      <c r="C339" s="1173"/>
      <c r="D339" s="1761" t="str">
        <f>Text!C116</f>
        <v>Sind die Wege zu den Nebenräumen im Gebäude (z. B. Keller, Waschküchen) und den Aussenspielbereichen für Kinder übersichtlich und sicher erreichbar?</v>
      </c>
      <c r="E339" s="1761"/>
      <c r="F339" s="1761"/>
      <c r="G339" s="1761"/>
      <c r="H339" s="1761"/>
      <c r="I339" s="1761"/>
      <c r="J339" s="1761"/>
      <c r="K339" s="1761"/>
      <c r="L339" s="1761"/>
      <c r="M339" s="1761"/>
      <c r="N339" s="1761"/>
      <c r="O339" s="1761"/>
      <c r="P339" s="1761"/>
      <c r="Q339" s="1"/>
      <c r="R339" s="1"/>
      <c r="S339" s="48"/>
      <c r="T339" s="1"/>
      <c r="U339" s="1"/>
      <c r="V339" s="1174"/>
      <c r="W339" s="1176"/>
      <c r="X339" s="1176"/>
      <c r="Y339" s="1183"/>
    </row>
    <row r="340" spans="1:25" s="1186" customFormat="1" ht="15" hidden="1" customHeight="1">
      <c r="B340" s="1165"/>
      <c r="C340" s="1173"/>
      <c r="D340" s="1761"/>
      <c r="E340" s="1761"/>
      <c r="F340" s="1761"/>
      <c r="G340" s="1761"/>
      <c r="H340" s="1761"/>
      <c r="I340" s="1761"/>
      <c r="J340" s="1761"/>
      <c r="K340" s="1761"/>
      <c r="L340" s="1761"/>
      <c r="M340" s="1761"/>
      <c r="N340" s="1761"/>
      <c r="O340" s="1761"/>
      <c r="P340" s="1761"/>
      <c r="Q340" s="1"/>
      <c r="R340" s="1"/>
      <c r="S340" s="9"/>
      <c r="T340" s="1"/>
      <c r="U340" s="1"/>
      <c r="V340" s="1176"/>
      <c r="W340" s="1176"/>
      <c r="X340" s="1176"/>
      <c r="Y340" s="1177"/>
    </row>
    <row r="341" spans="1:25" s="123" customFormat="1" ht="15" hidden="1" customHeight="1">
      <c r="A341" s="982"/>
      <c r="B341" s="983"/>
      <c r="C341" s="984"/>
      <c r="D341" s="124"/>
      <c r="E341" s="124"/>
      <c r="F341" s="124"/>
      <c r="G341" s="124"/>
      <c r="H341" s="124"/>
      <c r="I341" s="124"/>
      <c r="J341" s="124"/>
      <c r="K341" s="124"/>
      <c r="L341" s="124"/>
      <c r="M341" s="124"/>
      <c r="N341" s="124"/>
      <c r="O341" s="124"/>
      <c r="P341" s="125"/>
      <c r="Q341" s="4"/>
      <c r="R341" s="4"/>
      <c r="S341" s="48"/>
      <c r="T341" s="1"/>
      <c r="U341" s="1"/>
      <c r="V341" s="21"/>
      <c r="W341" s="21"/>
      <c r="X341" s="21"/>
      <c r="Y341" s="165"/>
    </row>
    <row r="342" spans="1:25" s="1186" customFormat="1" ht="15" hidden="1" customHeight="1">
      <c r="B342" s="1165"/>
      <c r="C342" s="1173"/>
      <c r="D342" s="1761" t="str">
        <f>Text!C117</f>
        <v>Besteht ein explizites Konzept zur künstlichen Beleuchtung der gemeinsam genutzten und öffentlich zugänglichen Bereiche?</v>
      </c>
      <c r="E342" s="1761"/>
      <c r="F342" s="1761"/>
      <c r="G342" s="1761"/>
      <c r="H342" s="1761"/>
      <c r="I342" s="1761"/>
      <c r="J342" s="1761"/>
      <c r="K342" s="1761"/>
      <c r="L342" s="1761"/>
      <c r="M342" s="1761"/>
      <c r="N342" s="1761"/>
      <c r="O342" s="1761"/>
      <c r="P342" s="1761"/>
      <c r="Q342" s="1"/>
      <c r="R342" s="1"/>
      <c r="S342" s="48"/>
      <c r="T342" s="1"/>
      <c r="U342" s="1"/>
      <c r="V342" s="1174"/>
      <c r="W342" s="1176"/>
      <c r="X342" s="1176"/>
      <c r="Y342" s="1183"/>
    </row>
    <row r="343" spans="1:25" s="1186" customFormat="1" ht="15" hidden="1" customHeight="1">
      <c r="B343" s="1165"/>
      <c r="C343" s="1173"/>
      <c r="D343" s="1761"/>
      <c r="E343" s="1761"/>
      <c r="F343" s="1761"/>
      <c r="G343" s="1761"/>
      <c r="H343" s="1761"/>
      <c r="I343" s="1761"/>
      <c r="J343" s="1761"/>
      <c r="K343" s="1761"/>
      <c r="L343" s="1761"/>
      <c r="M343" s="1761"/>
      <c r="N343" s="1761"/>
      <c r="O343" s="1761"/>
      <c r="P343" s="1761"/>
      <c r="Q343" s="1"/>
      <c r="R343" s="1"/>
      <c r="S343" s="9"/>
      <c r="T343" s="1"/>
      <c r="U343" s="1"/>
      <c r="V343" s="1176"/>
      <c r="W343" s="1176"/>
      <c r="X343" s="1176"/>
      <c r="Y343" s="1177"/>
    </row>
    <row r="344" spans="1:25" s="123" customFormat="1" ht="15" hidden="1" customHeight="1">
      <c r="A344" s="1"/>
      <c r="B344" s="789"/>
      <c r="C344" s="4"/>
      <c r="D344" s="124"/>
      <c r="E344" s="124"/>
      <c r="F344" s="124"/>
      <c r="G344" s="124"/>
      <c r="H344" s="124"/>
      <c r="I344" s="124"/>
      <c r="J344" s="124"/>
      <c r="K344" s="124"/>
      <c r="L344" s="124"/>
      <c r="M344" s="124"/>
      <c r="N344" s="124"/>
      <c r="O344" s="124"/>
      <c r="P344" s="125"/>
      <c r="Q344" s="4"/>
      <c r="R344" s="4"/>
      <c r="S344" s="48"/>
      <c r="T344" s="1"/>
      <c r="U344" s="1"/>
      <c r="V344" s="21"/>
      <c r="W344" s="21"/>
      <c r="X344" s="21"/>
      <c r="Y344" s="165"/>
    </row>
    <row r="345" spans="1:25" s="1186" customFormat="1" ht="15" hidden="1" customHeight="1">
      <c r="B345" s="1165"/>
      <c r="C345" s="1173"/>
      <c r="D345" s="1761" t="str">
        <f>Text!C118</f>
        <v>Sind die massgeblichen Fusswege zu den nächsten ÖV-Haltestellen sicher? (Die Wege führen ausschliesslich über Trottoirs, Strassenübergänge sind beleuchtet und markiert)</v>
      </c>
      <c r="E345" s="1761"/>
      <c r="F345" s="1761"/>
      <c r="G345" s="1761"/>
      <c r="H345" s="1761"/>
      <c r="I345" s="1761"/>
      <c r="J345" s="1761"/>
      <c r="K345" s="1761"/>
      <c r="L345" s="1761"/>
      <c r="M345" s="1761"/>
      <c r="N345" s="1761"/>
      <c r="O345" s="1761"/>
      <c r="P345" s="1761"/>
      <c r="Q345" s="1"/>
      <c r="R345" s="1"/>
      <c r="S345" s="48"/>
      <c r="T345" s="1"/>
      <c r="U345" s="1"/>
      <c r="V345" s="1174"/>
      <c r="W345" s="1176"/>
      <c r="X345" s="1176"/>
      <c r="Y345" s="1183"/>
    </row>
    <row r="346" spans="1:25" s="1186" customFormat="1" ht="15" hidden="1" customHeight="1">
      <c r="B346" s="1165"/>
      <c r="C346" s="1173"/>
      <c r="D346" s="1761"/>
      <c r="E346" s="1761"/>
      <c r="F346" s="1761"/>
      <c r="G346" s="1761"/>
      <c r="H346" s="1761"/>
      <c r="I346" s="1761"/>
      <c r="J346" s="1761"/>
      <c r="K346" s="1761"/>
      <c r="L346" s="1761"/>
      <c r="M346" s="1761"/>
      <c r="N346" s="1761"/>
      <c r="O346" s="1761"/>
      <c r="P346" s="1761"/>
      <c r="Q346" s="1"/>
      <c r="R346" s="1"/>
      <c r="S346" s="9"/>
      <c r="T346" s="1"/>
      <c r="U346" s="1"/>
      <c r="V346" s="1176"/>
      <c r="W346" s="1176"/>
      <c r="X346" s="1176"/>
      <c r="Y346" s="1177"/>
    </row>
    <row r="347" spans="1:25" s="982" customFormat="1" ht="15" customHeight="1">
      <c r="B347" s="983"/>
      <c r="C347" s="984"/>
      <c r="D347" s="985"/>
      <c r="E347" s="985"/>
      <c r="F347" s="985"/>
      <c r="G347" s="985"/>
      <c r="H347" s="985"/>
      <c r="I347" s="985"/>
      <c r="J347" s="985"/>
      <c r="K347" s="985"/>
      <c r="L347" s="985"/>
      <c r="M347" s="985"/>
      <c r="N347" s="985"/>
      <c r="O347" s="985"/>
      <c r="P347" s="985"/>
      <c r="Q347" s="984"/>
      <c r="R347" s="984"/>
      <c r="S347" s="986"/>
      <c r="V347" s="984"/>
      <c r="W347" s="984"/>
      <c r="X347" s="984"/>
      <c r="Y347" s="987"/>
    </row>
    <row r="348" spans="1:25" s="982" customFormat="1" ht="15" customHeight="1">
      <c r="B348" s="983"/>
      <c r="C348" s="984"/>
      <c r="D348" s="985"/>
      <c r="E348" s="985"/>
      <c r="F348" s="985"/>
      <c r="G348" s="985"/>
      <c r="H348" s="985"/>
      <c r="I348" s="985"/>
      <c r="J348" s="985"/>
      <c r="K348" s="985"/>
      <c r="L348" s="985"/>
      <c r="M348" s="985"/>
      <c r="N348" s="985"/>
      <c r="O348" s="985"/>
      <c r="P348" s="985"/>
      <c r="Q348" s="984"/>
      <c r="R348" s="984"/>
      <c r="S348" s="986"/>
      <c r="V348" s="984"/>
      <c r="W348" s="984"/>
      <c r="X348" s="984"/>
      <c r="Y348" s="987"/>
    </row>
    <row r="349" spans="1:25" s="982" customFormat="1" ht="15" customHeight="1">
      <c r="B349" s="983"/>
      <c r="C349" s="984"/>
      <c r="D349" s="985"/>
      <c r="E349" s="985"/>
      <c r="F349" s="985"/>
      <c r="G349" s="985"/>
      <c r="H349" s="985"/>
      <c r="I349" s="985"/>
      <c r="J349" s="985"/>
      <c r="K349" s="985"/>
      <c r="L349" s="985"/>
      <c r="M349" s="985"/>
      <c r="N349" s="985"/>
      <c r="O349" s="985"/>
      <c r="P349" s="985"/>
      <c r="Q349" s="984"/>
      <c r="R349" s="984"/>
      <c r="S349" s="986"/>
      <c r="V349" s="984"/>
      <c r="W349" s="984"/>
      <c r="X349" s="984"/>
      <c r="Y349" s="987"/>
    </row>
    <row r="350" spans="1:25" s="982" customFormat="1" ht="15" customHeight="1">
      <c r="B350" s="983"/>
      <c r="C350" s="984"/>
      <c r="D350" s="985"/>
      <c r="E350" s="985"/>
      <c r="F350" s="985"/>
      <c r="G350" s="985"/>
      <c r="H350" s="985"/>
      <c r="I350" s="985"/>
      <c r="J350" s="985"/>
      <c r="K350" s="985"/>
      <c r="L350" s="985"/>
      <c r="M350" s="985"/>
      <c r="N350" s="985"/>
      <c r="O350" s="985"/>
      <c r="P350" s="985"/>
      <c r="S350" s="988"/>
      <c r="V350" s="985"/>
      <c r="W350" s="985"/>
      <c r="X350" s="985"/>
      <c r="Y350" s="989"/>
    </row>
    <row r="351" spans="1:25" s="1164" customFormat="1">
      <c r="B351" s="1165"/>
      <c r="C351" s="1166"/>
      <c r="S351" s="1187"/>
      <c r="V351" s="1176"/>
      <c r="W351" s="1176"/>
      <c r="X351" s="1176"/>
      <c r="Y351" s="1177"/>
    </row>
    <row r="352" spans="1:25" s="1164" customFormat="1" ht="18.5">
      <c r="B352" s="1170"/>
      <c r="C352" s="1171"/>
      <c r="I352" s="1812" t="str">
        <f>Text!C119</f>
        <v>Wohlbefinden und Gesundheit</v>
      </c>
      <c r="J352" s="1812"/>
      <c r="K352" s="1812"/>
      <c r="L352" s="1812"/>
      <c r="M352" s="1812"/>
      <c r="N352" s="1812"/>
      <c r="O352" s="1812"/>
      <c r="P352" s="1812"/>
      <c r="S352" s="1187"/>
      <c r="V352" s="1176"/>
      <c r="W352" s="1176"/>
      <c r="X352" s="1176"/>
      <c r="Y352" s="1177"/>
    </row>
    <row r="353" spans="1:25" s="1164" customFormat="1">
      <c r="B353" s="1165"/>
      <c r="C353" s="1166"/>
      <c r="P353" s="1166"/>
      <c r="Q353" s="1166"/>
      <c r="R353" s="1166"/>
      <c r="S353" s="1172"/>
      <c r="V353" s="1176"/>
      <c r="W353" s="1176"/>
      <c r="X353" s="1176"/>
      <c r="Y353" s="1177"/>
    </row>
    <row r="354" spans="1:25" customFormat="1">
      <c r="B354" s="990"/>
      <c r="C354" s="795"/>
      <c r="P354" s="795"/>
      <c r="Q354" s="795"/>
      <c r="R354" s="795"/>
      <c r="S354" s="991"/>
      <c r="V354" s="979"/>
      <c r="W354" s="979"/>
      <c r="X354" s="979"/>
      <c r="Y354" s="980"/>
    </row>
    <row r="355" spans="1:25" s="1186" customFormat="1" ht="29.15" customHeight="1">
      <c r="A355" s="1164"/>
      <c r="B355" s="1165">
        <v>1</v>
      </c>
      <c r="C355" s="1173"/>
      <c r="D355" s="1761" t="str">
        <f>Text!C120</f>
        <v>Kann das Lüftungskonzept eine sehr gute Raumluftqualität garantieren, so dass unter Einhaltung der SIA180:2014 stets ein niedriger CO2-Gehalt, Feuchteregelung und hervorragende Zuluftqualität garantiert sind?</v>
      </c>
      <c r="E355" s="1761"/>
      <c r="F355" s="1761"/>
      <c r="G355" s="1761"/>
      <c r="H355" s="1761"/>
      <c r="I355" s="1761"/>
      <c r="J355" s="1761"/>
      <c r="K355" s="1761"/>
      <c r="L355" s="1761"/>
      <c r="M355" s="1761"/>
      <c r="N355" s="1761"/>
      <c r="O355" s="1761"/>
      <c r="P355" s="1761"/>
      <c r="Q355" s="1"/>
      <c r="R355" s="1"/>
      <c r="S355" s="48"/>
      <c r="T355" s="1"/>
      <c r="U355" s="1"/>
      <c r="V355" s="1174">
        <f>Text!B120</f>
        <v>141</v>
      </c>
      <c r="W355" s="1176"/>
      <c r="X355" s="1176"/>
      <c r="Y355" s="1183" t="str">
        <f>Text!C11</f>
        <v>Info [2]</v>
      </c>
    </row>
    <row r="356" spans="1:25" s="1186" customFormat="1" ht="15" customHeight="1">
      <c r="A356" s="1164"/>
      <c r="B356" s="1165"/>
      <c r="C356" s="1166"/>
      <c r="D356" s="1794" t="str">
        <f>Text!C613</f>
        <v>SIA 180:2014 «Wärmeschutz, Feuchteschutz und Raumklima in Gebäuden»</v>
      </c>
      <c r="E356" s="1794"/>
      <c r="F356" s="1794"/>
      <c r="G356" s="1794"/>
      <c r="H356" s="1794"/>
      <c r="I356" s="1794"/>
      <c r="J356" s="1794"/>
      <c r="K356" s="1794"/>
      <c r="L356" s="1794"/>
      <c r="M356" s="1794"/>
      <c r="N356" s="1794"/>
      <c r="O356" s="1794"/>
      <c r="P356" s="1794"/>
      <c r="Q356" s="1"/>
      <c r="R356" s="1"/>
      <c r="S356" s="9"/>
      <c r="T356" s="1"/>
      <c r="U356" s="1"/>
      <c r="V356" s="1176"/>
      <c r="W356" s="1176"/>
      <c r="X356" s="1176"/>
      <c r="Y356" s="1177"/>
    </row>
    <row r="357" spans="1:25" s="123" customFormat="1" ht="15" hidden="1" customHeight="1">
      <c r="A357" s="1"/>
      <c r="B357" s="789"/>
      <c r="C357" s="4"/>
      <c r="D357" s="124"/>
      <c r="E357" s="124"/>
      <c r="F357" s="124"/>
      <c r="G357" s="124"/>
      <c r="H357" s="124"/>
      <c r="I357" s="124"/>
      <c r="J357" s="124"/>
      <c r="K357" s="124"/>
      <c r="L357" s="124"/>
      <c r="M357" s="124"/>
      <c r="N357" s="124"/>
      <c r="O357" s="124"/>
      <c r="P357" s="124"/>
      <c r="Q357" s="1"/>
      <c r="R357" s="1"/>
      <c r="S357" s="48"/>
      <c r="T357" s="1"/>
      <c r="U357" s="1"/>
      <c r="V357" s="21"/>
      <c r="W357" s="21"/>
      <c r="X357" s="21"/>
      <c r="Y357" s="165"/>
    </row>
    <row r="358" spans="1:25" s="1186" customFormat="1" ht="15" hidden="1" customHeight="1">
      <c r="B358" s="1165"/>
      <c r="C358" s="1173"/>
      <c r="D358" s="1761" t="str">
        <f>Text!C121</f>
        <v>Verfügt das Gebäude über Sollwert-gesteuerte Abluftanlagen und geeignete Nachströmvorrichtungen?</v>
      </c>
      <c r="E358" s="1761"/>
      <c r="F358" s="1761"/>
      <c r="G358" s="1761"/>
      <c r="H358" s="1761"/>
      <c r="I358" s="1761"/>
      <c r="J358" s="1761"/>
      <c r="K358" s="1761"/>
      <c r="L358" s="1761"/>
      <c r="M358" s="1761"/>
      <c r="N358" s="1761"/>
      <c r="O358" s="1761"/>
      <c r="P358" s="1761"/>
      <c r="Q358" s="1"/>
      <c r="R358" s="1"/>
      <c r="S358" s="48"/>
      <c r="T358" s="1"/>
      <c r="U358" s="1"/>
      <c r="V358" s="1174"/>
      <c r="W358" s="1176"/>
      <c r="X358" s="1176"/>
      <c r="Y358" s="1183"/>
    </row>
    <row r="359" spans="1:25" s="1186" customFormat="1" ht="15" hidden="1" customHeight="1">
      <c r="B359" s="1165"/>
      <c r="C359" s="1173"/>
      <c r="D359" s="1761"/>
      <c r="E359" s="1761"/>
      <c r="F359" s="1761"/>
      <c r="G359" s="1761"/>
      <c r="H359" s="1761"/>
      <c r="I359" s="1761"/>
      <c r="J359" s="1761"/>
      <c r="K359" s="1761"/>
      <c r="L359" s="1761"/>
      <c r="M359" s="1761"/>
      <c r="N359" s="1761"/>
      <c r="O359" s="1761"/>
      <c r="P359" s="1761"/>
      <c r="Q359" s="1"/>
      <c r="R359" s="1"/>
      <c r="S359" s="9"/>
      <c r="T359" s="1"/>
      <c r="U359" s="1"/>
      <c r="V359" s="1176"/>
      <c r="W359" s="1176"/>
      <c r="X359" s="1176"/>
      <c r="Y359" s="1177"/>
    </row>
    <row r="360" spans="1:25" s="123" customFormat="1" ht="15" hidden="1" customHeight="1">
      <c r="A360" s="1"/>
      <c r="B360" s="789"/>
      <c r="C360" s="4"/>
      <c r="D360" s="124"/>
      <c r="E360" s="124"/>
      <c r="F360" s="124"/>
      <c r="G360" s="124"/>
      <c r="H360" s="124"/>
      <c r="I360" s="124"/>
      <c r="J360" s="124"/>
      <c r="K360" s="124"/>
      <c r="L360" s="124"/>
      <c r="M360" s="124"/>
      <c r="N360" s="124"/>
      <c r="O360" s="124"/>
      <c r="P360" s="124"/>
      <c r="Q360" s="1"/>
      <c r="R360" s="1"/>
      <c r="S360" s="48"/>
      <c r="T360" s="1"/>
      <c r="U360" s="1"/>
      <c r="V360" s="21"/>
      <c r="W360" s="21"/>
      <c r="X360" s="21"/>
      <c r="Y360" s="165"/>
    </row>
    <row r="361" spans="1:25" s="1186" customFormat="1" ht="15" hidden="1" customHeight="1">
      <c r="B361" s="1165"/>
      <c r="C361" s="1173"/>
      <c r="D361" s="1761" t="str">
        <f>Text!C122</f>
        <v>Besteht ein Lüftungskonzept mit geeigneten Lüftungsöffnungen und ist dieses automatisiert oder ist das Konzept in einer Nutzervereinbarung verankert?</v>
      </c>
      <c r="E361" s="1761"/>
      <c r="F361" s="1761"/>
      <c r="G361" s="1761"/>
      <c r="H361" s="1761"/>
      <c r="I361" s="1761"/>
      <c r="J361" s="1761"/>
      <c r="K361" s="1761"/>
      <c r="L361" s="1761"/>
      <c r="M361" s="1761"/>
      <c r="N361" s="1761"/>
      <c r="O361" s="1761"/>
      <c r="P361" s="1761"/>
      <c r="Q361" s="1"/>
      <c r="R361" s="1"/>
      <c r="S361" s="48"/>
      <c r="T361" s="1"/>
      <c r="U361" s="1"/>
      <c r="V361" s="1174"/>
      <c r="W361" s="1176"/>
      <c r="X361" s="1176"/>
      <c r="Y361" s="1183"/>
    </row>
    <row r="362" spans="1:25" s="1186" customFormat="1" ht="15" hidden="1" customHeight="1">
      <c r="B362" s="1165"/>
      <c r="C362" s="1173"/>
      <c r="D362" s="1761"/>
      <c r="E362" s="1761"/>
      <c r="F362" s="1761"/>
      <c r="G362" s="1761"/>
      <c r="H362" s="1761"/>
      <c r="I362" s="1761"/>
      <c r="J362" s="1761"/>
      <c r="K362" s="1761"/>
      <c r="L362" s="1761"/>
      <c r="M362" s="1761"/>
      <c r="N362" s="1761"/>
      <c r="O362" s="1761"/>
      <c r="P362" s="1761"/>
      <c r="Q362" s="1"/>
      <c r="R362" s="1"/>
      <c r="S362" s="9"/>
      <c r="T362" s="1"/>
      <c r="U362" s="1"/>
      <c r="V362" s="1176"/>
      <c r="W362" s="1176"/>
      <c r="X362" s="1176"/>
      <c r="Y362" s="1177"/>
    </row>
    <row r="363" spans="1:25" s="123" customFormat="1" ht="15" hidden="1" customHeight="1">
      <c r="A363" s="1"/>
      <c r="B363" s="789"/>
      <c r="C363" s="4"/>
      <c r="D363" s="124"/>
      <c r="E363" s="124"/>
      <c r="F363" s="124"/>
      <c r="G363" s="124"/>
      <c r="H363" s="124"/>
      <c r="I363" s="124"/>
      <c r="J363" s="124"/>
      <c r="K363" s="124"/>
      <c r="L363" s="124"/>
      <c r="M363" s="124"/>
      <c r="N363" s="124"/>
      <c r="O363" s="124"/>
      <c r="P363" s="124"/>
      <c r="Q363" s="1"/>
      <c r="R363" s="1"/>
      <c r="S363" s="48"/>
      <c r="T363" s="1"/>
      <c r="U363" s="1"/>
      <c r="V363" s="21"/>
      <c r="W363" s="21"/>
      <c r="X363" s="21"/>
      <c r="Y363" s="165"/>
    </row>
    <row r="364" spans="1:25" s="1186" customFormat="1" ht="15" hidden="1" customHeight="1">
      <c r="B364" s="1165"/>
      <c r="C364" s="1173"/>
      <c r="D364" s="1761" t="str">
        <f>Text!C123</f>
        <v>Verfügt das Gebäude über feuchteregulierende Materialien in den Hauptnutzräumen (z. B. Lehmputz oder Lehmplatten)?</v>
      </c>
      <c r="E364" s="1761"/>
      <c r="F364" s="1761"/>
      <c r="G364" s="1761"/>
      <c r="H364" s="1761"/>
      <c r="I364" s="1761"/>
      <c r="J364" s="1761"/>
      <c r="K364" s="1761"/>
      <c r="L364" s="1761"/>
      <c r="M364" s="1761"/>
      <c r="N364" s="1761"/>
      <c r="O364" s="1761"/>
      <c r="P364" s="1761"/>
      <c r="Q364" s="1"/>
      <c r="R364" s="1"/>
      <c r="S364" s="48"/>
      <c r="T364" s="1"/>
      <c r="U364" s="1"/>
      <c r="V364" s="1174"/>
      <c r="W364" s="1176"/>
      <c r="X364" s="1176"/>
      <c r="Y364" s="1183"/>
    </row>
    <row r="365" spans="1:25" s="1186" customFormat="1" ht="15" hidden="1" customHeight="1">
      <c r="B365" s="1165"/>
      <c r="C365" s="1173"/>
      <c r="D365" s="1761"/>
      <c r="E365" s="1761"/>
      <c r="F365" s="1761"/>
      <c r="G365" s="1761"/>
      <c r="H365" s="1761"/>
      <c r="I365" s="1761"/>
      <c r="J365" s="1761"/>
      <c r="K365" s="1761"/>
      <c r="L365" s="1761"/>
      <c r="M365" s="1761"/>
      <c r="N365" s="1761"/>
      <c r="O365" s="1761"/>
      <c r="P365" s="1761"/>
      <c r="Q365" s="1"/>
      <c r="R365" s="1"/>
      <c r="S365" s="9"/>
      <c r="T365" s="1"/>
      <c r="U365" s="1"/>
      <c r="V365" s="1176"/>
      <c r="W365" s="1176"/>
      <c r="X365" s="1176"/>
      <c r="Y365" s="1177"/>
    </row>
    <row r="366" spans="1:25" s="123" customFormat="1" ht="15" hidden="1" customHeight="1">
      <c r="A366" s="1"/>
      <c r="B366" s="789"/>
      <c r="C366" s="4"/>
      <c r="D366" s="124"/>
      <c r="E366" s="124"/>
      <c r="F366" s="124"/>
      <c r="G366" s="124"/>
      <c r="H366" s="124"/>
      <c r="I366" s="124"/>
      <c r="J366" s="124"/>
      <c r="K366" s="124"/>
      <c r="L366" s="124"/>
      <c r="M366" s="124"/>
      <c r="N366" s="124"/>
      <c r="O366" s="124"/>
      <c r="P366" s="124"/>
      <c r="Q366" s="1"/>
      <c r="R366" s="1"/>
      <c r="S366" s="48"/>
      <c r="T366" s="1"/>
      <c r="U366" s="1"/>
      <c r="V366" s="21"/>
      <c r="W366" s="21"/>
      <c r="X366" s="21"/>
      <c r="Y366" s="165"/>
    </row>
    <row r="367" spans="1:25" s="1186" customFormat="1" ht="15" hidden="1" customHeight="1">
      <c r="B367" s="1165"/>
      <c r="C367" s="1173"/>
      <c r="D367" s="1761" t="str">
        <f>Text!C124</f>
        <v>Wird der korrekte Betrieb und die Instandhaltung der vorhandenen Filter, Nachströmelemente und Abluftanlagen in einem Betriebs- und Wartungsvertrag geregelt? («Ja» wenn keine Filter u. Nachstömelemente vorhanden sind und keine Abluftanlage benötigt wird)</v>
      </c>
      <c r="E367" s="1761"/>
      <c r="F367" s="1761"/>
      <c r="G367" s="1761"/>
      <c r="H367" s="1761"/>
      <c r="I367" s="1761"/>
      <c r="J367" s="1761"/>
      <c r="K367" s="1761"/>
      <c r="L367" s="1761"/>
      <c r="M367" s="1761"/>
      <c r="N367" s="1761"/>
      <c r="O367" s="1761"/>
      <c r="P367" s="1761"/>
      <c r="Q367" s="1"/>
      <c r="R367" s="1"/>
      <c r="S367" s="48"/>
      <c r="T367" s="1"/>
      <c r="U367" s="1"/>
      <c r="V367" s="1174"/>
      <c r="W367" s="1176"/>
      <c r="X367" s="1176"/>
      <c r="Y367" s="1183"/>
    </row>
    <row r="368" spans="1:25" s="1186" customFormat="1" ht="15" hidden="1" customHeight="1">
      <c r="B368" s="1165"/>
      <c r="C368" s="1173"/>
      <c r="D368" s="1761"/>
      <c r="E368" s="1761"/>
      <c r="F368" s="1761"/>
      <c r="G368" s="1761"/>
      <c r="H368" s="1761"/>
      <c r="I368" s="1761"/>
      <c r="J368" s="1761"/>
      <c r="K368" s="1761"/>
      <c r="L368" s="1761"/>
      <c r="M368" s="1761"/>
      <c r="N368" s="1761"/>
      <c r="O368" s="1761"/>
      <c r="P368" s="1761"/>
      <c r="Q368" s="1"/>
      <c r="R368" s="1"/>
      <c r="S368" s="9"/>
      <c r="T368" s="1"/>
      <c r="U368" s="1"/>
      <c r="V368" s="1176"/>
      <c r="W368" s="1176"/>
      <c r="X368" s="1176"/>
      <c r="Y368" s="1177"/>
    </row>
    <row r="369" spans="1:25" s="123" customFormat="1" ht="15" customHeight="1">
      <c r="A369" s="1"/>
      <c r="B369" s="789"/>
      <c r="C369" s="4"/>
      <c r="D369" s="124"/>
      <c r="E369" s="124"/>
      <c r="F369" s="124"/>
      <c r="G369" s="124"/>
      <c r="H369" s="124"/>
      <c r="I369" s="124"/>
      <c r="J369" s="124"/>
      <c r="K369" s="124"/>
      <c r="L369" s="124"/>
      <c r="M369" s="124"/>
      <c r="N369" s="124"/>
      <c r="O369" s="124"/>
      <c r="P369" s="125"/>
      <c r="Q369" s="4"/>
      <c r="R369" s="4"/>
      <c r="S369" s="48"/>
      <c r="T369" s="1"/>
      <c r="U369" s="1"/>
      <c r="V369" s="21"/>
      <c r="W369" s="21"/>
      <c r="X369" s="21"/>
      <c r="Y369" s="165"/>
    </row>
    <row r="370" spans="1:25" s="1186" customFormat="1" ht="15" customHeight="1">
      <c r="B370" s="1165"/>
      <c r="C370" s="1173"/>
      <c r="D370" s="1761" t="str">
        <f>Text!C125</f>
        <v>Wird ein NIS-Zonenplan (nicht ionisierende Strahlung) erstellt und anhand von Messungen nachgewiesen, dass die Schadstoffbelastung (Formaldehyd und TVOC) und die Belastung durch Strahlung (Radon) die Grenzwerte gemäss Minergie-ECO nicht überschreiten?</v>
      </c>
      <c r="E370" s="1761"/>
      <c r="F370" s="1761"/>
      <c r="G370" s="1761"/>
      <c r="H370" s="1761"/>
      <c r="I370" s="1761"/>
      <c r="J370" s="1761"/>
      <c r="K370" s="1761"/>
      <c r="L370" s="1761"/>
      <c r="M370" s="1761"/>
      <c r="N370" s="1761"/>
      <c r="O370" s="1761"/>
      <c r="P370" s="1761"/>
      <c r="Q370" s="1"/>
      <c r="R370" s="1"/>
      <c r="S370" s="48"/>
      <c r="T370" s="1"/>
      <c r="U370" s="1"/>
      <c r="V370" s="1174">
        <f>Text!B125</f>
        <v>142</v>
      </c>
      <c r="W370" s="1176"/>
      <c r="X370" s="1176"/>
      <c r="Y370" s="1183" t="str">
        <f>Text!C13</f>
        <v>Info [4]</v>
      </c>
    </row>
    <row r="371" spans="1:25" s="1186" customFormat="1" ht="15" customHeight="1">
      <c r="B371" s="1165"/>
      <c r="C371" s="1173"/>
      <c r="D371" s="1761"/>
      <c r="E371" s="1761"/>
      <c r="F371" s="1761"/>
      <c r="G371" s="1761"/>
      <c r="H371" s="1761"/>
      <c r="I371" s="1761"/>
      <c r="J371" s="1761"/>
      <c r="K371" s="1761"/>
      <c r="L371" s="1761"/>
      <c r="M371" s="1761"/>
      <c r="N371" s="1761"/>
      <c r="O371" s="1761"/>
      <c r="P371" s="1761"/>
      <c r="Q371" s="1"/>
      <c r="R371" s="1"/>
      <c r="S371" s="9"/>
      <c r="T371" s="1"/>
      <c r="U371" s="1"/>
      <c r="V371" s="1176"/>
      <c r="W371" s="1176"/>
      <c r="X371" s="1176"/>
      <c r="Y371" s="1177"/>
    </row>
    <row r="372" spans="1:25" ht="15" hidden="1" customHeight="1">
      <c r="B372" s="789"/>
      <c r="D372" s="13"/>
      <c r="E372" s="13"/>
      <c r="F372" s="13"/>
      <c r="G372" s="13"/>
      <c r="H372" s="13"/>
      <c r="I372" s="13"/>
      <c r="J372" s="13"/>
      <c r="K372" s="13"/>
      <c r="L372" s="13"/>
      <c r="M372" s="13"/>
      <c r="N372" s="13"/>
      <c r="O372" s="13"/>
      <c r="P372" s="125"/>
      <c r="S372" s="92"/>
      <c r="V372" s="21"/>
      <c r="W372" s="21"/>
      <c r="X372" s="21"/>
      <c r="Y372" s="165"/>
    </row>
    <row r="373" spans="1:25" s="1186" customFormat="1" ht="15" hidden="1" customHeight="1">
      <c r="B373" s="1165"/>
      <c r="C373" s="1173"/>
      <c r="D373" s="1761" t="str">
        <f>Text!C126</f>
        <v>Werden Massnahmen getroffen, welche sicherstellen, dass die Radonkonzentration eingedämmt wird (z. B. kein Unterdruck im Gebäude, sorgfältige Abdichtung von erdberührten Räumen)?</v>
      </c>
      <c r="E373" s="1761"/>
      <c r="F373" s="1761"/>
      <c r="G373" s="1761"/>
      <c r="H373" s="1761"/>
      <c r="I373" s="1761"/>
      <c r="J373" s="1761"/>
      <c r="K373" s="1761"/>
      <c r="L373" s="1761"/>
      <c r="M373" s="1761"/>
      <c r="N373" s="1761"/>
      <c r="O373" s="1761"/>
      <c r="P373" s="1761"/>
      <c r="Q373" s="1"/>
      <c r="R373" s="1"/>
      <c r="S373" s="48"/>
      <c r="T373" s="1"/>
      <c r="U373" s="1"/>
      <c r="V373" s="1174"/>
      <c r="W373" s="1176"/>
      <c r="X373" s="1176"/>
      <c r="Y373" s="1183"/>
    </row>
    <row r="374" spans="1:25" s="1186" customFormat="1" ht="15" hidden="1" customHeight="1">
      <c r="B374" s="1165"/>
      <c r="C374" s="1173"/>
      <c r="D374" s="1761"/>
      <c r="E374" s="1761"/>
      <c r="F374" s="1761"/>
      <c r="G374" s="1761"/>
      <c r="H374" s="1761"/>
      <c r="I374" s="1761"/>
      <c r="J374" s="1761"/>
      <c r="K374" s="1761"/>
      <c r="L374" s="1761"/>
      <c r="M374" s="1761"/>
      <c r="N374" s="1761"/>
      <c r="O374" s="1761"/>
      <c r="P374" s="1761"/>
      <c r="Q374" s="1"/>
      <c r="R374" s="1"/>
      <c r="S374" s="9"/>
      <c r="T374" s="1"/>
      <c r="U374" s="1"/>
      <c r="V374" s="1176"/>
      <c r="W374" s="1176"/>
      <c r="X374" s="1176"/>
      <c r="Y374" s="1177"/>
    </row>
    <row r="375" spans="1:25" s="123" customFormat="1" ht="15" hidden="1" customHeight="1">
      <c r="A375" s="1"/>
      <c r="B375" s="789"/>
      <c r="C375" s="4"/>
      <c r="D375" s="125"/>
      <c r="E375" s="125"/>
      <c r="F375" s="125"/>
      <c r="G375" s="125"/>
      <c r="H375" s="125"/>
      <c r="I375" s="125"/>
      <c r="J375" s="125"/>
      <c r="K375" s="125"/>
      <c r="L375" s="125"/>
      <c r="M375" s="125"/>
      <c r="N375" s="125"/>
      <c r="O375" s="125"/>
      <c r="P375" s="125"/>
      <c r="Q375" s="1"/>
      <c r="R375" s="1"/>
      <c r="S375" s="457"/>
      <c r="T375" s="1"/>
      <c r="U375" s="1"/>
      <c r="V375" s="23"/>
      <c r="W375" s="23"/>
      <c r="X375" s="23"/>
      <c r="Y375" s="187"/>
    </row>
    <row r="376" spans="1:25" s="1186" customFormat="1" ht="15" hidden="1" customHeight="1">
      <c r="B376" s="1165"/>
      <c r="C376" s="1173"/>
      <c r="D376" s="1761" t="str">
        <f>Text!C127</f>
        <v>Wird ein NIS-Zonenplan (Nicht ionisierende Strahlung) für das ganze Gebäude erstellt und werden Empfehlungen zum Elektrosmog umgesetzt?</v>
      </c>
      <c r="E376" s="1761"/>
      <c r="F376" s="1761"/>
      <c r="G376" s="1761"/>
      <c r="H376" s="1761"/>
      <c r="I376" s="1761"/>
      <c r="J376" s="1761"/>
      <c r="K376" s="1761"/>
      <c r="L376" s="1761"/>
      <c r="M376" s="1761"/>
      <c r="N376" s="1761"/>
      <c r="O376" s="1761"/>
      <c r="P376" s="1761"/>
      <c r="Q376" s="1"/>
      <c r="R376" s="1"/>
      <c r="S376" s="48"/>
      <c r="T376" s="1"/>
      <c r="U376" s="1"/>
      <c r="V376" s="1174"/>
      <c r="W376" s="1176"/>
      <c r="X376" s="1176"/>
      <c r="Y376" s="1183"/>
    </row>
    <row r="377" spans="1:25" s="1186" customFormat="1" ht="15" hidden="1" customHeight="1">
      <c r="B377" s="1165"/>
      <c r="C377" s="1173"/>
      <c r="D377" s="1761"/>
      <c r="E377" s="1761"/>
      <c r="F377" s="1761"/>
      <c r="G377" s="1761"/>
      <c r="H377" s="1761"/>
      <c r="I377" s="1761"/>
      <c r="J377" s="1761"/>
      <c r="K377" s="1761"/>
      <c r="L377" s="1761"/>
      <c r="M377" s="1761"/>
      <c r="N377" s="1761"/>
      <c r="O377" s="1761"/>
      <c r="P377" s="1761"/>
      <c r="Q377" s="1"/>
      <c r="R377" s="1"/>
      <c r="S377" s="9"/>
      <c r="T377" s="1"/>
      <c r="U377" s="1"/>
      <c r="V377" s="1176"/>
      <c r="W377" s="1176"/>
      <c r="X377" s="1176"/>
      <c r="Y377" s="1177"/>
    </row>
    <row r="378" spans="1:25" ht="15" hidden="1" customHeight="1">
      <c r="B378" s="789"/>
      <c r="D378" s="125"/>
      <c r="E378" s="125"/>
      <c r="F378" s="125"/>
      <c r="G378" s="125"/>
      <c r="H378" s="125"/>
      <c r="I378" s="125"/>
      <c r="J378" s="125"/>
      <c r="K378" s="125"/>
      <c r="L378" s="125"/>
      <c r="M378" s="125"/>
      <c r="N378" s="125"/>
      <c r="O378" s="125"/>
      <c r="P378" s="125"/>
      <c r="Q378" s="1"/>
      <c r="R378" s="1"/>
      <c r="S378" s="48"/>
      <c r="V378" s="1"/>
      <c r="Y378" s="1"/>
    </row>
    <row r="379" spans="1:25" s="1186" customFormat="1" ht="15" hidden="1" customHeight="1">
      <c r="B379" s="1165"/>
      <c r="C379" s="1173"/>
      <c r="D379" s="1761" t="str">
        <f>Text!C128</f>
        <v>Wird in beheizten Innenräumen auf die Verwendung von Baustoffen verzichtet, welche relevante Mengen an Formaldehyd in die Raumluft abgeben (z. B. Holzwerkstoffe, Akustikputzsysteme, Mehrschichtparkett)?</v>
      </c>
      <c r="E379" s="1761"/>
      <c r="F379" s="1761"/>
      <c r="G379" s="1761"/>
      <c r="H379" s="1761"/>
      <c r="I379" s="1761"/>
      <c r="J379" s="1761"/>
      <c r="K379" s="1761"/>
      <c r="L379" s="1761"/>
      <c r="M379" s="1761"/>
      <c r="N379" s="1761"/>
      <c r="O379" s="1761"/>
      <c r="P379" s="1761"/>
      <c r="Q379" s="1"/>
      <c r="R379" s="1"/>
      <c r="S379" s="48"/>
      <c r="T379" s="1"/>
      <c r="U379" s="1"/>
      <c r="V379" s="1174"/>
      <c r="W379" s="1176"/>
      <c r="X379" s="1176"/>
      <c r="Y379" s="1183"/>
    </row>
    <row r="380" spans="1:25" s="1186" customFormat="1" ht="15" hidden="1" customHeight="1">
      <c r="B380" s="1165"/>
      <c r="C380" s="1173"/>
      <c r="D380" s="1761"/>
      <c r="E380" s="1761"/>
      <c r="F380" s="1761"/>
      <c r="G380" s="1761"/>
      <c r="H380" s="1761"/>
      <c r="I380" s="1761"/>
      <c r="J380" s="1761"/>
      <c r="K380" s="1761"/>
      <c r="L380" s="1761"/>
      <c r="M380" s="1761"/>
      <c r="N380" s="1761"/>
      <c r="O380" s="1761"/>
      <c r="P380" s="1761"/>
      <c r="Q380" s="1"/>
      <c r="R380" s="1"/>
      <c r="S380" s="9"/>
      <c r="T380" s="1"/>
      <c r="U380" s="1"/>
      <c r="V380" s="1176"/>
      <c r="W380" s="1176"/>
      <c r="X380" s="1176"/>
      <c r="Y380" s="1177"/>
    </row>
    <row r="381" spans="1:25" hidden="1">
      <c r="B381" s="789"/>
      <c r="D381" s="124"/>
      <c r="E381" s="124"/>
      <c r="F381" s="124"/>
      <c r="G381" s="124"/>
      <c r="H381" s="124"/>
      <c r="I381" s="124"/>
      <c r="J381" s="124"/>
      <c r="K381" s="124"/>
      <c r="L381" s="124"/>
      <c r="M381" s="124"/>
      <c r="N381" s="124"/>
      <c r="O381" s="124"/>
      <c r="P381" s="124"/>
      <c r="Q381" s="123"/>
      <c r="R381" s="1"/>
      <c r="S381" s="48"/>
      <c r="V381" s="21"/>
      <c r="W381" s="21"/>
      <c r="X381" s="21"/>
      <c r="Y381" s="165"/>
    </row>
    <row r="382" spans="1:25" s="1186" customFormat="1" ht="15" hidden="1" customHeight="1">
      <c r="B382" s="1165"/>
      <c r="C382" s="1173"/>
      <c r="D382" s="1761" t="str">
        <f>Text!C129</f>
        <v>Wird in beheizten Innenräumen auf die Verwendung von Baustoffen verzichtet, welche relevante Mengen an Lösemitteln in die Raumluft abgeben (z. B. bestimmte Beschichtungsstoffe, Klebstoffe oder Reinigungsmittel)?</v>
      </c>
      <c r="E382" s="1761"/>
      <c r="F382" s="1761"/>
      <c r="G382" s="1761"/>
      <c r="H382" s="1761"/>
      <c r="I382" s="1761"/>
      <c r="J382" s="1761"/>
      <c r="K382" s="1761"/>
      <c r="L382" s="1761"/>
      <c r="M382" s="1761"/>
      <c r="N382" s="1761"/>
      <c r="O382" s="1761"/>
      <c r="P382" s="1761"/>
      <c r="Q382" s="1"/>
      <c r="R382" s="1"/>
      <c r="S382" s="48"/>
      <c r="T382" s="1"/>
      <c r="U382" s="1"/>
      <c r="V382" s="1174"/>
      <c r="W382" s="1176"/>
      <c r="X382" s="1176"/>
      <c r="Y382" s="1183"/>
    </row>
    <row r="383" spans="1:25" s="1186" customFormat="1" ht="15" hidden="1" customHeight="1">
      <c r="B383" s="1165"/>
      <c r="C383" s="1173"/>
      <c r="D383" s="1761"/>
      <c r="E383" s="1761"/>
      <c r="F383" s="1761"/>
      <c r="G383" s="1761"/>
      <c r="H383" s="1761"/>
      <c r="I383" s="1761"/>
      <c r="J383" s="1761"/>
      <c r="K383" s="1761"/>
      <c r="L383" s="1761"/>
      <c r="M383" s="1761"/>
      <c r="N383" s="1761"/>
      <c r="O383" s="1761"/>
      <c r="P383" s="1761"/>
      <c r="Q383" s="1"/>
      <c r="R383" s="1"/>
      <c r="S383" s="9"/>
      <c r="T383" s="1"/>
      <c r="U383" s="1"/>
      <c r="V383" s="1176"/>
      <c r="W383" s="1176"/>
      <c r="X383" s="1176"/>
      <c r="Y383" s="1177"/>
    </row>
    <row r="384" spans="1:25" hidden="1">
      <c r="B384" s="789"/>
      <c r="D384" s="124"/>
      <c r="E384" s="124"/>
      <c r="F384" s="124"/>
      <c r="G384" s="124"/>
      <c r="H384" s="124"/>
      <c r="I384" s="124"/>
      <c r="J384" s="124"/>
      <c r="K384" s="124"/>
      <c r="L384" s="124"/>
      <c r="M384" s="124"/>
      <c r="N384" s="124"/>
      <c r="O384" s="124"/>
      <c r="P384" s="124"/>
      <c r="Q384" s="123"/>
      <c r="R384" s="1"/>
      <c r="S384" s="48"/>
      <c r="V384" s="21"/>
      <c r="W384" s="21"/>
      <c r="X384" s="21"/>
      <c r="Y384" s="165"/>
    </row>
    <row r="385" spans="1:25" s="1186" customFormat="1" ht="15" hidden="1" customHeight="1">
      <c r="B385" s="1165"/>
      <c r="C385" s="1173"/>
      <c r="D385" s="1761" t="str">
        <f>Text!C130</f>
        <v>Werden Raumluftmessungen nach dem Bauvorhaben zur Einhaltung der entsprechenden Grenzwerte vorgesehen (Formaldehyd, TVOC)?</v>
      </c>
      <c r="E385" s="1761"/>
      <c r="F385" s="1761"/>
      <c r="G385" s="1761"/>
      <c r="H385" s="1761"/>
      <c r="I385" s="1761"/>
      <c r="J385" s="1761"/>
      <c r="K385" s="1761"/>
      <c r="L385" s="1761"/>
      <c r="M385" s="1761"/>
      <c r="N385" s="1761"/>
      <c r="O385" s="1761"/>
      <c r="P385" s="1761"/>
      <c r="Q385" s="1"/>
      <c r="R385" s="1"/>
      <c r="S385" s="48"/>
      <c r="T385" s="1"/>
      <c r="U385" s="1"/>
      <c r="V385" s="1174"/>
      <c r="W385" s="1176"/>
      <c r="X385" s="1176"/>
      <c r="Y385" s="1183"/>
    </row>
    <row r="386" spans="1:25" s="1186" customFormat="1" ht="15" hidden="1" customHeight="1">
      <c r="B386" s="1165"/>
      <c r="C386" s="1173"/>
      <c r="D386" s="1761"/>
      <c r="E386" s="1761"/>
      <c r="F386" s="1761"/>
      <c r="G386" s="1761"/>
      <c r="H386" s="1761"/>
      <c r="I386" s="1761"/>
      <c r="J386" s="1761"/>
      <c r="K386" s="1761"/>
      <c r="L386" s="1761"/>
      <c r="M386" s="1761"/>
      <c r="N386" s="1761"/>
      <c r="O386" s="1761"/>
      <c r="P386" s="1761"/>
      <c r="Q386" s="1"/>
      <c r="R386" s="1"/>
      <c r="S386" s="9"/>
      <c r="T386" s="1"/>
      <c r="U386" s="1"/>
      <c r="V386" s="1176"/>
      <c r="W386" s="1176"/>
      <c r="X386" s="1176"/>
      <c r="Y386" s="1177"/>
    </row>
    <row r="387" spans="1:25" s="123" customFormat="1">
      <c r="A387" s="1"/>
      <c r="B387" s="789"/>
      <c r="C387" s="4"/>
      <c r="D387" s="124"/>
      <c r="E387" s="124"/>
      <c r="F387" s="124"/>
      <c r="G387" s="124"/>
      <c r="H387" s="124"/>
      <c r="I387" s="124"/>
      <c r="J387" s="124"/>
      <c r="K387" s="124"/>
      <c r="L387" s="124"/>
      <c r="M387" s="124"/>
      <c r="N387" s="124"/>
      <c r="O387" s="124"/>
      <c r="P387" s="125"/>
      <c r="Q387" s="4"/>
      <c r="R387" s="4"/>
      <c r="S387" s="48"/>
      <c r="T387" s="1"/>
      <c r="U387" s="1"/>
      <c r="V387" s="21"/>
      <c r="W387" s="21"/>
      <c r="X387" s="21"/>
      <c r="Y387" s="165"/>
    </row>
    <row r="388" spans="1:25" s="1186" customFormat="1" ht="15" customHeight="1">
      <c r="B388" s="1165"/>
      <c r="C388" s="1173"/>
      <c r="D388" s="1761" t="str">
        <f>Text!C131</f>
        <v xml:space="preserve">Wird die Umgebungsgestaltung beim Bauvorhaben so konzipiert, dass sie (z. B. durch Grünflächen am und um das Gebäude, grosskronige Baumbestände, Verschattungen und Oberflächengestaltung) eine abkühlende Wirkung auf Gebäude und Aussenraum erzielt? </v>
      </c>
      <c r="E388" s="1761"/>
      <c r="F388" s="1761"/>
      <c r="G388" s="1761"/>
      <c r="H388" s="1761"/>
      <c r="I388" s="1761"/>
      <c r="J388" s="1761"/>
      <c r="K388" s="1761"/>
      <c r="L388" s="1761"/>
      <c r="M388" s="1761"/>
      <c r="N388" s="1761"/>
      <c r="O388" s="1761"/>
      <c r="P388" s="1761"/>
      <c r="Q388" s="1"/>
      <c r="R388" s="1"/>
      <c r="S388" s="48"/>
      <c r="T388" s="1"/>
      <c r="U388" s="1"/>
      <c r="V388" s="1174">
        <f>Text!B131</f>
        <v>143</v>
      </c>
      <c r="W388" s="1176"/>
      <c r="X388" s="1176"/>
      <c r="Y388" s="1183"/>
    </row>
    <row r="389" spans="1:25" s="1186" customFormat="1" ht="15" customHeight="1">
      <c r="B389" s="1165"/>
      <c r="C389" s="1173"/>
      <c r="D389" s="1761"/>
      <c r="E389" s="1761"/>
      <c r="F389" s="1761"/>
      <c r="G389" s="1761"/>
      <c r="H389" s="1761"/>
      <c r="I389" s="1761"/>
      <c r="J389" s="1761"/>
      <c r="K389" s="1761"/>
      <c r="L389" s="1761"/>
      <c r="M389" s="1761"/>
      <c r="N389" s="1761"/>
      <c r="O389" s="1761"/>
      <c r="P389" s="1761"/>
      <c r="Q389" s="1"/>
      <c r="R389" s="1"/>
      <c r="S389" s="9"/>
      <c r="T389" s="1"/>
      <c r="U389" s="1"/>
      <c r="V389" s="1176"/>
      <c r="W389" s="1176"/>
      <c r="X389" s="1176"/>
      <c r="Y389" s="1177"/>
    </row>
    <row r="390" spans="1:25" hidden="1">
      <c r="B390" s="789"/>
      <c r="D390" s="13"/>
      <c r="E390" s="13"/>
      <c r="F390" s="13"/>
      <c r="G390" s="13"/>
      <c r="H390" s="13"/>
      <c r="I390" s="13"/>
      <c r="J390" s="13"/>
      <c r="K390" s="13"/>
      <c r="L390" s="13"/>
      <c r="M390" s="13"/>
      <c r="N390" s="13"/>
      <c r="O390" s="13"/>
      <c r="P390" s="125"/>
      <c r="S390" s="92"/>
      <c r="V390" s="21"/>
      <c r="W390" s="21"/>
      <c r="X390" s="21"/>
      <c r="Y390" s="165"/>
    </row>
    <row r="391" spans="1:25" s="1186" customFormat="1" ht="15" hidden="1" customHeight="1">
      <c r="B391" s="1165"/>
      <c r="C391" s="1173"/>
      <c r="D391" s="1761" t="str">
        <f>Text!C132</f>
        <v>Besteht die unbebaute Grundstücksfläche grösstenteils aus unversiegelten Grünflächen?</v>
      </c>
      <c r="E391" s="1761"/>
      <c r="F391" s="1761"/>
      <c r="G391" s="1761"/>
      <c r="H391" s="1761"/>
      <c r="I391" s="1761"/>
      <c r="J391" s="1761"/>
      <c r="K391" s="1761"/>
      <c r="L391" s="1761"/>
      <c r="M391" s="1761"/>
      <c r="N391" s="1761"/>
      <c r="O391" s="1761"/>
      <c r="P391" s="1761"/>
      <c r="Q391" s="1"/>
      <c r="R391" s="1"/>
      <c r="S391" s="48"/>
      <c r="T391" s="1"/>
      <c r="U391" s="1"/>
      <c r="V391" s="1174"/>
      <c r="W391" s="1176"/>
      <c r="X391" s="1176"/>
      <c r="Y391" s="1183"/>
    </row>
    <row r="392" spans="1:25" s="1186" customFormat="1" ht="15" hidden="1" customHeight="1">
      <c r="B392" s="1165"/>
      <c r="C392" s="1173"/>
      <c r="D392" s="1761"/>
      <c r="E392" s="1761"/>
      <c r="F392" s="1761"/>
      <c r="G392" s="1761"/>
      <c r="H392" s="1761"/>
      <c r="I392" s="1761"/>
      <c r="J392" s="1761"/>
      <c r="K392" s="1761"/>
      <c r="L392" s="1761"/>
      <c r="M392" s="1761"/>
      <c r="N392" s="1761"/>
      <c r="O392" s="1761"/>
      <c r="P392" s="1761"/>
      <c r="Q392" s="1"/>
      <c r="R392" s="1"/>
      <c r="S392" s="9"/>
      <c r="T392" s="1"/>
      <c r="U392" s="1"/>
      <c r="V392" s="1176"/>
      <c r="W392" s="1176"/>
      <c r="X392" s="1176"/>
      <c r="Y392" s="1177"/>
    </row>
    <row r="393" spans="1:25" s="123" customFormat="1" hidden="1">
      <c r="A393" s="1"/>
      <c r="B393" s="789"/>
      <c r="C393" s="4"/>
      <c r="D393" s="125"/>
      <c r="E393" s="125"/>
      <c r="F393" s="125"/>
      <c r="G393" s="125"/>
      <c r="H393" s="125"/>
      <c r="I393" s="125"/>
      <c r="J393" s="125"/>
      <c r="K393" s="125"/>
      <c r="L393" s="125"/>
      <c r="M393" s="125"/>
      <c r="N393" s="125"/>
      <c r="O393" s="125"/>
      <c r="P393" s="125"/>
      <c r="Q393" s="1"/>
      <c r="R393" s="1"/>
      <c r="S393" s="457"/>
      <c r="T393" s="1"/>
      <c r="U393" s="1"/>
      <c r="V393" s="23"/>
      <c r="W393" s="23"/>
      <c r="X393" s="23"/>
      <c r="Y393" s="187"/>
    </row>
    <row r="394" spans="1:25" s="1186" customFormat="1" ht="15" hidden="1" customHeight="1">
      <c r="B394" s="1165"/>
      <c r="C394" s="1173"/>
      <c r="D394" s="1761" t="str">
        <f>Text!C133</f>
        <v>Wird alter, grosskroniger Baumbestand erhalten, oder grossflächige Verschattung auf dem Grundstück anderweitig gewährleistet?</v>
      </c>
      <c r="E394" s="1761"/>
      <c r="F394" s="1761"/>
      <c r="G394" s="1761"/>
      <c r="H394" s="1761"/>
      <c r="I394" s="1761"/>
      <c r="J394" s="1761"/>
      <c r="K394" s="1761"/>
      <c r="L394" s="1761"/>
      <c r="M394" s="1761"/>
      <c r="N394" s="1761"/>
      <c r="O394" s="1761"/>
      <c r="P394" s="1761"/>
      <c r="Q394" s="1"/>
      <c r="R394" s="1"/>
      <c r="S394" s="48"/>
      <c r="T394" s="1"/>
      <c r="U394" s="1"/>
      <c r="V394" s="1174"/>
      <c r="W394" s="1176"/>
      <c r="X394" s="1176"/>
      <c r="Y394" s="1183"/>
    </row>
    <row r="395" spans="1:25" s="1186" customFormat="1" ht="15" hidden="1" customHeight="1">
      <c r="B395" s="1165"/>
      <c r="C395" s="1173"/>
      <c r="D395" s="1761"/>
      <c r="E395" s="1761"/>
      <c r="F395" s="1761"/>
      <c r="G395" s="1761"/>
      <c r="H395" s="1761"/>
      <c r="I395" s="1761"/>
      <c r="J395" s="1761"/>
      <c r="K395" s="1761"/>
      <c r="L395" s="1761"/>
      <c r="M395" s="1761"/>
      <c r="N395" s="1761"/>
      <c r="O395" s="1761"/>
      <c r="P395" s="1761"/>
      <c r="Q395" s="1"/>
      <c r="R395" s="1"/>
      <c r="S395" s="9"/>
      <c r="T395" s="1"/>
      <c r="U395" s="1"/>
      <c r="V395" s="1176"/>
      <c r="W395" s="1176"/>
      <c r="X395" s="1176"/>
      <c r="Y395" s="1177"/>
    </row>
    <row r="396" spans="1:25" hidden="1">
      <c r="B396" s="789"/>
      <c r="D396" s="125"/>
      <c r="E396" s="125"/>
      <c r="F396" s="125"/>
      <c r="G396" s="125"/>
      <c r="H396" s="125"/>
      <c r="I396" s="125"/>
      <c r="J396" s="125"/>
      <c r="K396" s="125"/>
      <c r="L396" s="125"/>
      <c r="M396" s="125"/>
      <c r="N396" s="125"/>
      <c r="O396" s="125"/>
      <c r="P396" s="125"/>
      <c r="Q396" s="1"/>
      <c r="R396" s="1"/>
      <c r="S396" s="48"/>
      <c r="V396" s="1"/>
      <c r="Y396" s="1"/>
    </row>
    <row r="397" spans="1:25" s="1186" customFormat="1" ht="15" hidden="1" customHeight="1">
      <c r="B397" s="1165"/>
      <c r="C397" s="1173"/>
      <c r="D397" s="1761" t="str">
        <f>Text!C134</f>
        <v>Wird die Reflexion von Oberflächen im Aussenraum beschränkt (z. B. durch Begrünung, Fassadenbekleidung oder geringer Glasanteile)?</v>
      </c>
      <c r="E397" s="1761"/>
      <c r="F397" s="1761"/>
      <c r="G397" s="1761"/>
      <c r="H397" s="1761"/>
      <c r="I397" s="1761"/>
      <c r="J397" s="1761"/>
      <c r="K397" s="1761"/>
      <c r="L397" s="1761"/>
      <c r="M397" s="1761"/>
      <c r="N397" s="1761"/>
      <c r="O397" s="1761"/>
      <c r="P397" s="1761"/>
      <c r="Q397" s="1"/>
      <c r="R397" s="1"/>
      <c r="S397" s="48"/>
      <c r="T397" s="1"/>
      <c r="U397" s="1"/>
      <c r="V397" s="1174"/>
      <c r="W397" s="1176"/>
      <c r="X397" s="1176"/>
      <c r="Y397" s="1183"/>
    </row>
    <row r="398" spans="1:25" s="1186" customFormat="1" ht="15" hidden="1" customHeight="1">
      <c r="B398" s="1165"/>
      <c r="C398" s="1173"/>
      <c r="D398" s="1761"/>
      <c r="E398" s="1761"/>
      <c r="F398" s="1761"/>
      <c r="G398" s="1761"/>
      <c r="H398" s="1761"/>
      <c r="I398" s="1761"/>
      <c r="J398" s="1761"/>
      <c r="K398" s="1761"/>
      <c r="L398" s="1761"/>
      <c r="M398" s="1761"/>
      <c r="N398" s="1761"/>
      <c r="O398" s="1761"/>
      <c r="P398" s="1761"/>
      <c r="Q398" s="1"/>
      <c r="R398" s="1"/>
      <c r="S398" s="9"/>
      <c r="T398" s="1"/>
      <c r="U398" s="1"/>
      <c r="V398" s="1176"/>
      <c r="W398" s="1176"/>
      <c r="X398" s="1176"/>
      <c r="Y398" s="1177"/>
    </row>
    <row r="399" spans="1:25" ht="15" hidden="1" customHeight="1">
      <c r="B399" s="789"/>
      <c r="D399" s="124"/>
      <c r="E399" s="124"/>
      <c r="F399" s="124"/>
      <c r="G399" s="124"/>
      <c r="H399" s="124"/>
      <c r="I399" s="124"/>
      <c r="J399" s="124"/>
      <c r="K399" s="124"/>
      <c r="L399" s="124"/>
      <c r="M399" s="124"/>
      <c r="N399" s="124"/>
      <c r="O399" s="124"/>
      <c r="P399" s="124"/>
      <c r="Q399" s="123"/>
      <c r="R399" s="1"/>
      <c r="S399" s="48"/>
      <c r="V399" s="21"/>
      <c r="W399" s="21"/>
      <c r="X399" s="21"/>
      <c r="Y399" s="165"/>
    </row>
    <row r="400" spans="1:25" s="1186" customFormat="1" ht="15" hidden="1" customHeight="1">
      <c r="B400" s="1165"/>
      <c r="C400" s="1173"/>
      <c r="D400" s="1761" t="str">
        <f>Text!C135</f>
        <v>Wird die Dach- und Fassadenbegründung so geplant, dass sie ohne Bewässerung auskommt?</v>
      </c>
      <c r="E400" s="1761"/>
      <c r="F400" s="1761"/>
      <c r="G400" s="1761"/>
      <c r="H400" s="1761"/>
      <c r="I400" s="1761"/>
      <c r="J400" s="1761"/>
      <c r="K400" s="1761"/>
      <c r="L400" s="1761"/>
      <c r="M400" s="1761"/>
      <c r="N400" s="1761"/>
      <c r="O400" s="1761"/>
      <c r="P400" s="1761"/>
      <c r="Q400" s="1"/>
      <c r="R400" s="1"/>
      <c r="S400" s="48"/>
      <c r="T400" s="1"/>
      <c r="U400" s="1"/>
      <c r="V400" s="1174"/>
      <c r="W400" s="1176"/>
      <c r="X400" s="1176"/>
      <c r="Y400" s="1183"/>
    </row>
    <row r="401" spans="1:25" s="1186" customFormat="1" ht="15" hidden="1" customHeight="1">
      <c r="B401" s="1165"/>
      <c r="C401" s="1173"/>
      <c r="D401" s="1761"/>
      <c r="E401" s="1761"/>
      <c r="F401" s="1761"/>
      <c r="G401" s="1761"/>
      <c r="H401" s="1761"/>
      <c r="I401" s="1761"/>
      <c r="J401" s="1761"/>
      <c r="K401" s="1761"/>
      <c r="L401" s="1761"/>
      <c r="M401" s="1761"/>
      <c r="N401" s="1761"/>
      <c r="O401" s="1761"/>
      <c r="P401" s="1761"/>
      <c r="Q401" s="1"/>
      <c r="R401" s="1"/>
      <c r="S401" s="9"/>
      <c r="T401" s="1"/>
      <c r="U401" s="1"/>
      <c r="V401" s="1176"/>
      <c r="W401" s="1176"/>
      <c r="X401" s="1176"/>
      <c r="Y401" s="1177"/>
    </row>
    <row r="402" spans="1:25" ht="15" customHeight="1">
      <c r="B402" s="789"/>
      <c r="D402" s="124"/>
      <c r="E402" s="124"/>
      <c r="F402" s="124"/>
      <c r="G402" s="124"/>
      <c r="H402" s="124"/>
      <c r="I402" s="124"/>
      <c r="J402" s="124"/>
      <c r="K402" s="124"/>
      <c r="L402" s="124"/>
      <c r="M402" s="124"/>
      <c r="N402" s="124"/>
      <c r="O402" s="124"/>
      <c r="P402" s="124"/>
      <c r="Q402" s="123"/>
      <c r="R402" s="1"/>
      <c r="S402" s="48"/>
      <c r="V402" s="21"/>
      <c r="W402" s="21"/>
      <c r="X402" s="21"/>
      <c r="Y402" s="165"/>
    </row>
    <row r="403" spans="1:25" s="1186" customFormat="1" ht="15" customHeight="1">
      <c r="A403" s="1164"/>
      <c r="B403" s="1165"/>
      <c r="C403" s="1173"/>
      <c r="D403" s="1761" t="str">
        <f>Text!C136</f>
        <v>Wird die Einhaltung der thermischen Behaglichkeit im Sommer gemäss der geltenden Norm SIA 180 auch mit Klimadaten der Zukunft nachgewiesen?</v>
      </c>
      <c r="E403" s="1761"/>
      <c r="F403" s="1761"/>
      <c r="G403" s="1761"/>
      <c r="H403" s="1761"/>
      <c r="I403" s="1761"/>
      <c r="J403" s="1761"/>
      <c r="K403" s="1761"/>
      <c r="L403" s="1761"/>
      <c r="M403" s="1761"/>
      <c r="N403" s="1761"/>
      <c r="O403" s="1761"/>
      <c r="P403" s="1761"/>
      <c r="Q403" s="1"/>
      <c r="R403" s="1"/>
      <c r="S403" s="48"/>
      <c r="T403" s="1"/>
      <c r="U403" s="1"/>
      <c r="V403" s="1174">
        <f>Text!B136</f>
        <v>144</v>
      </c>
      <c r="W403" s="1176"/>
      <c r="X403" s="1176"/>
      <c r="Y403" s="1183"/>
    </row>
    <row r="404" spans="1:25" s="1186" customFormat="1" ht="15" customHeight="1">
      <c r="A404" s="1164"/>
      <c r="B404" s="1165"/>
      <c r="C404" s="1166"/>
      <c r="D404" s="1761"/>
      <c r="E404" s="1761"/>
      <c r="F404" s="1761"/>
      <c r="G404" s="1761"/>
      <c r="H404" s="1761"/>
      <c r="I404" s="1761"/>
      <c r="J404" s="1761"/>
      <c r="K404" s="1761"/>
      <c r="L404" s="1761"/>
      <c r="M404" s="1761"/>
      <c r="N404" s="1761"/>
      <c r="O404" s="1761"/>
      <c r="P404" s="1761"/>
      <c r="Q404" s="1"/>
      <c r="R404" s="1"/>
      <c r="S404" s="9"/>
      <c r="T404" s="1"/>
      <c r="U404" s="1"/>
      <c r="V404" s="1176"/>
      <c r="W404" s="1176"/>
      <c r="X404" s="1176"/>
      <c r="Y404" s="1177"/>
    </row>
    <row r="405" spans="1:25" s="123" customFormat="1" ht="15" hidden="1" customHeight="1">
      <c r="A405" s="1"/>
      <c r="B405" s="789"/>
      <c r="C405" s="4"/>
      <c r="D405" s="124"/>
      <c r="E405" s="124"/>
      <c r="F405" s="124"/>
      <c r="G405" s="124"/>
      <c r="H405" s="124"/>
      <c r="I405" s="124"/>
      <c r="J405" s="124"/>
      <c r="K405" s="124"/>
      <c r="L405" s="124"/>
      <c r="M405" s="124"/>
      <c r="N405" s="124"/>
      <c r="O405" s="124"/>
      <c r="P405" s="124"/>
      <c r="Q405" s="1"/>
      <c r="R405" s="1"/>
      <c r="S405" s="48"/>
      <c r="T405" s="1"/>
      <c r="U405" s="1"/>
      <c r="V405" s="21"/>
      <c r="W405" s="21"/>
      <c r="X405" s="21"/>
      <c r="Y405" s="165"/>
    </row>
    <row r="406" spans="1:25" s="1186" customFormat="1" ht="15" hidden="1" customHeight="1">
      <c r="B406" s="1165"/>
      <c r="C406" s="1173"/>
      <c r="D406" s="1761" t="str">
        <f>Text!C137</f>
        <v>Besitzt das Gebäude einen gut funktionierenden aussenliegenden, beweglichen Sonnenschutz?</v>
      </c>
      <c r="E406" s="1761"/>
      <c r="F406" s="1761"/>
      <c r="G406" s="1761"/>
      <c r="H406" s="1761"/>
      <c r="I406" s="1761"/>
      <c r="J406" s="1761"/>
      <c r="K406" s="1761"/>
      <c r="L406" s="1761"/>
      <c r="M406" s="1761"/>
      <c r="N406" s="1761"/>
      <c r="O406" s="1761"/>
      <c r="P406" s="1761"/>
      <c r="Q406" s="1"/>
      <c r="R406" s="1"/>
      <c r="S406" s="48"/>
      <c r="T406" s="1"/>
      <c r="U406" s="1"/>
      <c r="V406" s="1174"/>
      <c r="W406" s="1176"/>
      <c r="X406" s="1176"/>
      <c r="Y406" s="1183"/>
    </row>
    <row r="407" spans="1:25" s="1186" customFormat="1" ht="15" hidden="1" customHeight="1">
      <c r="B407" s="1165"/>
      <c r="C407" s="1173"/>
      <c r="D407" s="1761"/>
      <c r="E407" s="1761"/>
      <c r="F407" s="1761"/>
      <c r="G407" s="1761"/>
      <c r="H407" s="1761"/>
      <c r="I407" s="1761"/>
      <c r="J407" s="1761"/>
      <c r="K407" s="1761"/>
      <c r="L407" s="1761"/>
      <c r="M407" s="1761"/>
      <c r="N407" s="1761"/>
      <c r="O407" s="1761"/>
      <c r="P407" s="1761"/>
      <c r="Q407" s="1"/>
      <c r="R407" s="1"/>
      <c r="S407" s="9"/>
      <c r="T407" s="1"/>
      <c r="U407" s="1"/>
      <c r="V407" s="1176"/>
      <c r="W407" s="1176"/>
      <c r="X407" s="1176"/>
      <c r="Y407" s="1177"/>
    </row>
    <row r="408" spans="1:25" s="123" customFormat="1" ht="15" hidden="1" customHeight="1">
      <c r="A408" s="1"/>
      <c r="B408" s="789"/>
      <c r="C408" s="4"/>
      <c r="D408" s="124"/>
      <c r="E408" s="124"/>
      <c r="F408" s="124"/>
      <c r="G408" s="124"/>
      <c r="H408" s="124"/>
      <c r="I408" s="124"/>
      <c r="J408" s="124"/>
      <c r="K408" s="124"/>
      <c r="L408" s="124"/>
      <c r="M408" s="124"/>
      <c r="N408" s="124"/>
      <c r="O408" s="124"/>
      <c r="P408" s="124"/>
      <c r="Q408" s="1"/>
      <c r="R408" s="1"/>
      <c r="S408" s="48"/>
      <c r="T408" s="1"/>
      <c r="U408" s="1"/>
      <c r="V408" s="21"/>
      <c r="W408" s="21"/>
      <c r="X408" s="21"/>
      <c r="Y408" s="165"/>
    </row>
    <row r="409" spans="1:25" s="1186" customFormat="1" ht="29.15" hidden="1" customHeight="1">
      <c r="A409" s="1164"/>
      <c r="B409" s="1165"/>
      <c r="C409" s="1173"/>
      <c r="D409" s="1761" t="str">
        <f>Text!C138</f>
        <v>Sind die Fenster so gestaltet und positioniert, dass sie einen guten Kompromiss zwischen Hitzeschutz und ausreichendem Tageslichteinfall bieten 
(z. B. Überstände bei Südfenstern, Seitenblenden bei Ost- und Westfenstern, Lichtbänder mit geringer Sturzhöhe, Vermeidung von Oblichtern und raumhohen Fenstern auf der Südseite)?</v>
      </c>
      <c r="E409" s="1761"/>
      <c r="F409" s="1761"/>
      <c r="G409" s="1761"/>
      <c r="H409" s="1761"/>
      <c r="I409" s="1761"/>
      <c r="J409" s="1761"/>
      <c r="K409" s="1761"/>
      <c r="L409" s="1761"/>
      <c r="M409" s="1761"/>
      <c r="N409" s="1761"/>
      <c r="O409" s="1761"/>
      <c r="P409" s="1761"/>
      <c r="Q409" s="1"/>
      <c r="R409" s="1"/>
      <c r="S409" s="48"/>
      <c r="T409" s="1"/>
      <c r="U409" s="1"/>
      <c r="V409" s="1174"/>
      <c r="W409" s="1176"/>
      <c r="Y409" s="1177"/>
    </row>
    <row r="410" spans="1:25" s="1186" customFormat="1" ht="15" hidden="1" customHeight="1">
      <c r="A410" s="1164"/>
      <c r="B410" s="1165"/>
      <c r="C410" s="1166"/>
      <c r="D410" s="1761"/>
      <c r="E410" s="1761"/>
      <c r="F410" s="1761"/>
      <c r="G410" s="1761"/>
      <c r="H410" s="1761"/>
      <c r="I410" s="1761"/>
      <c r="J410" s="1761"/>
      <c r="K410" s="1761"/>
      <c r="L410" s="1761"/>
      <c r="M410" s="1761"/>
      <c r="N410" s="1761"/>
      <c r="O410" s="1761"/>
      <c r="P410" s="1761"/>
      <c r="Q410" s="1"/>
      <c r="R410" s="1"/>
      <c r="S410" s="9"/>
      <c r="T410" s="1"/>
      <c r="U410" s="1"/>
      <c r="V410" s="1176"/>
      <c r="W410" s="1176"/>
      <c r="X410" s="1176"/>
      <c r="Y410" s="1183"/>
    </row>
    <row r="411" spans="1:25" s="123" customFormat="1" ht="15" hidden="1" customHeight="1">
      <c r="A411" s="1"/>
      <c r="B411" s="789"/>
      <c r="C411" s="4"/>
      <c r="D411" s="124"/>
      <c r="E411" s="124"/>
      <c r="F411" s="124"/>
      <c r="G411" s="124"/>
      <c r="H411" s="124"/>
      <c r="I411" s="124"/>
      <c r="J411" s="124"/>
      <c r="K411" s="124"/>
      <c r="L411" s="124"/>
      <c r="M411" s="124"/>
      <c r="N411" s="124"/>
      <c r="O411" s="124"/>
      <c r="P411" s="124"/>
      <c r="Q411" s="1"/>
      <c r="R411" s="1"/>
      <c r="S411" s="48"/>
      <c r="T411" s="1"/>
      <c r="U411" s="1"/>
      <c r="V411" s="21"/>
      <c r="W411" s="21"/>
      <c r="X411" s="21"/>
      <c r="Y411" s="165"/>
    </row>
    <row r="412" spans="1:25" s="1186" customFormat="1" ht="15" hidden="1" customHeight="1">
      <c r="B412" s="1165"/>
      <c r="C412" s="1173"/>
      <c r="D412" s="1761" t="str">
        <f>Text!C139</f>
        <v>Besitzt das Gebäude genügend Wärmespeicherkapazität in Form von massiven Materialien bzw. Bauteilschichten angrenzend zum Innenraum, um die auftretenden Temperaturspitzen auszugleichen?</v>
      </c>
      <c r="E412" s="1761"/>
      <c r="F412" s="1761"/>
      <c r="G412" s="1761"/>
      <c r="H412" s="1761"/>
      <c r="I412" s="1761"/>
      <c r="J412" s="1761"/>
      <c r="K412" s="1761"/>
      <c r="L412" s="1761"/>
      <c r="M412" s="1761"/>
      <c r="N412" s="1761"/>
      <c r="O412" s="1761"/>
      <c r="P412" s="1761"/>
      <c r="Q412" s="1"/>
      <c r="R412" s="1"/>
      <c r="S412" s="48"/>
      <c r="T412" s="1"/>
      <c r="U412" s="1"/>
      <c r="V412" s="1174"/>
      <c r="W412" s="1176"/>
      <c r="X412" s="1176"/>
      <c r="Y412" s="1183"/>
    </row>
    <row r="413" spans="1:25" s="1186" customFormat="1" ht="15" hidden="1" customHeight="1">
      <c r="B413" s="1165"/>
      <c r="C413" s="1173"/>
      <c r="D413" s="1761"/>
      <c r="E413" s="1761"/>
      <c r="F413" s="1761"/>
      <c r="G413" s="1761"/>
      <c r="H413" s="1761"/>
      <c r="I413" s="1761"/>
      <c r="J413" s="1761"/>
      <c r="K413" s="1761"/>
      <c r="L413" s="1761"/>
      <c r="M413" s="1761"/>
      <c r="N413" s="1761"/>
      <c r="O413" s="1761"/>
      <c r="P413" s="1761"/>
      <c r="Q413" s="1"/>
      <c r="R413" s="1"/>
      <c r="S413" s="9"/>
      <c r="T413" s="1"/>
      <c r="U413" s="1"/>
      <c r="V413" s="1176"/>
      <c r="W413" s="1176"/>
      <c r="X413" s="1176"/>
      <c r="Y413" s="1177"/>
    </row>
    <row r="414" spans="1:25" s="123" customFormat="1" ht="15" hidden="1" customHeight="1">
      <c r="A414" s="1"/>
      <c r="B414" s="789"/>
      <c r="C414" s="4"/>
      <c r="D414" s="124"/>
      <c r="E414" s="124"/>
      <c r="F414" s="124"/>
      <c r="G414" s="124"/>
      <c r="H414" s="124"/>
      <c r="I414" s="124"/>
      <c r="J414" s="124"/>
      <c r="K414" s="124"/>
      <c r="L414" s="124"/>
      <c r="M414" s="124"/>
      <c r="N414" s="124"/>
      <c r="O414" s="124"/>
      <c r="P414" s="124"/>
      <c r="Q414" s="1"/>
      <c r="R414" s="1"/>
      <c r="S414" s="48"/>
      <c r="T414" s="1"/>
      <c r="U414" s="1"/>
      <c r="V414" s="21"/>
      <c r="W414" s="21"/>
      <c r="X414" s="21"/>
      <c r="Y414" s="165"/>
    </row>
    <row r="415" spans="1:25" s="1186" customFormat="1" ht="15" hidden="1" customHeight="1">
      <c r="B415" s="1165"/>
      <c r="C415" s="1173"/>
      <c r="D415" s="1761" t="str">
        <f>Text!C140</f>
        <v xml:space="preserve">Ist an heissen Tagen eine Abführung der Wärmelasten aus den Innenräumen möglich (z. B. durch natürliche Nachtauskühlung, Free-Cooling oder Geocooling)? </v>
      </c>
      <c r="E415" s="1761"/>
      <c r="F415" s="1761"/>
      <c r="G415" s="1761"/>
      <c r="H415" s="1761"/>
      <c r="I415" s="1761"/>
      <c r="J415" s="1761"/>
      <c r="K415" s="1761"/>
      <c r="L415" s="1761"/>
      <c r="M415" s="1761"/>
      <c r="N415" s="1761"/>
      <c r="O415" s="1761"/>
      <c r="P415" s="1761"/>
      <c r="Q415" s="1"/>
      <c r="R415" s="1"/>
      <c r="S415" s="48"/>
      <c r="T415" s="1"/>
      <c r="U415" s="1"/>
      <c r="V415" s="1174"/>
      <c r="W415" s="1176"/>
      <c r="X415" s="1176"/>
      <c r="Y415" s="1183"/>
    </row>
    <row r="416" spans="1:25" s="1186" customFormat="1" ht="15" hidden="1" customHeight="1">
      <c r="B416" s="1165"/>
      <c r="C416" s="1173"/>
      <c r="D416" s="1761"/>
      <c r="E416" s="1761"/>
      <c r="F416" s="1761"/>
      <c r="G416" s="1761"/>
      <c r="H416" s="1761"/>
      <c r="I416" s="1761"/>
      <c r="J416" s="1761"/>
      <c r="K416" s="1761"/>
      <c r="L416" s="1761"/>
      <c r="M416" s="1761"/>
      <c r="N416" s="1761"/>
      <c r="O416" s="1761"/>
      <c r="P416" s="1761"/>
      <c r="Q416" s="1"/>
      <c r="R416" s="1"/>
      <c r="S416" s="9"/>
      <c r="T416" s="1"/>
      <c r="U416" s="1"/>
      <c r="V416" s="1176"/>
      <c r="W416" s="1176"/>
      <c r="X416" s="1176"/>
      <c r="Y416" s="1177"/>
    </row>
    <row r="417" spans="1:25" s="123" customFormat="1" ht="15" hidden="1" customHeight="1">
      <c r="A417" s="1"/>
      <c r="B417" s="789"/>
      <c r="C417" s="4"/>
      <c r="D417" s="124"/>
      <c r="E417" s="124"/>
      <c r="F417" s="124"/>
      <c r="G417" s="124"/>
      <c r="H417" s="124"/>
      <c r="I417" s="124"/>
      <c r="J417" s="124"/>
      <c r="K417" s="124"/>
      <c r="L417" s="124"/>
      <c r="M417" s="124"/>
      <c r="N417" s="124"/>
      <c r="O417" s="124"/>
      <c r="P417" s="124"/>
      <c r="Q417" s="1"/>
      <c r="R417" s="1"/>
      <c r="S417" s="48"/>
      <c r="T417" s="1"/>
      <c r="U417" s="1"/>
      <c r="V417" s="21"/>
      <c r="W417" s="21"/>
      <c r="X417" s="21"/>
      <c r="Y417" s="165"/>
    </row>
    <row r="418" spans="1:25" s="1186" customFormat="1" ht="15" hidden="1" customHeight="1">
      <c r="B418" s="1165"/>
      <c r="C418" s="1173"/>
      <c r="D418" s="1761" t="str">
        <f>Text!C141</f>
        <v>Werden zur Überprüfung der sommerlichen Innentemperaturen Berechnungen oder dynamische Simulationen durchgeführt? (SIA 180 Nachweis Verfahren 2 
oder 3)</v>
      </c>
      <c r="E418" s="1761"/>
      <c r="F418" s="1761"/>
      <c r="G418" s="1761"/>
      <c r="H418" s="1761"/>
      <c r="I418" s="1761"/>
      <c r="J418" s="1761"/>
      <c r="K418" s="1761"/>
      <c r="L418" s="1761"/>
      <c r="M418" s="1761"/>
      <c r="N418" s="1761"/>
      <c r="O418" s="1761"/>
      <c r="P418" s="1761"/>
      <c r="Q418" s="1"/>
      <c r="R418" s="1"/>
      <c r="S418" s="48"/>
      <c r="T418" s="1"/>
      <c r="U418" s="1"/>
      <c r="V418" s="1174"/>
      <c r="W418" s="1176"/>
      <c r="X418" s="1176"/>
      <c r="Y418" s="1175" t="str">
        <f>Text!C$11</f>
        <v>Info [2]</v>
      </c>
    </row>
    <row r="419" spans="1:25" s="1186" customFormat="1" ht="15" hidden="1" customHeight="1">
      <c r="B419" s="1165"/>
      <c r="C419" s="1173"/>
      <c r="D419" s="1761"/>
      <c r="E419" s="1761"/>
      <c r="F419" s="1761"/>
      <c r="G419" s="1761"/>
      <c r="H419" s="1761"/>
      <c r="I419" s="1761"/>
      <c r="J419" s="1761"/>
      <c r="K419" s="1761"/>
      <c r="L419" s="1761"/>
      <c r="M419" s="1761"/>
      <c r="N419" s="1761"/>
      <c r="O419" s="1761"/>
      <c r="P419" s="1761"/>
      <c r="Q419" s="1"/>
      <c r="R419" s="1"/>
      <c r="S419" s="9"/>
      <c r="T419" s="1"/>
      <c r="U419" s="1"/>
      <c r="V419" s="1176"/>
      <c r="W419" s="1176"/>
      <c r="X419" s="1176"/>
      <c r="Y419" s="1177"/>
    </row>
    <row r="420" spans="1:25" s="123" customFormat="1" ht="15" hidden="1" customHeight="1">
      <c r="A420" s="1"/>
      <c r="B420" s="789"/>
      <c r="C420" s="4"/>
      <c r="D420" s="125"/>
      <c r="E420" s="125"/>
      <c r="F420" s="125"/>
      <c r="G420" s="125"/>
      <c r="H420" s="125"/>
      <c r="I420" s="125"/>
      <c r="J420" s="125"/>
      <c r="K420" s="125"/>
      <c r="L420" s="125"/>
      <c r="M420" s="125"/>
      <c r="N420" s="125"/>
      <c r="O420" s="125"/>
      <c r="P420" s="125"/>
      <c r="Q420" s="1"/>
      <c r="R420" s="1"/>
      <c r="S420" s="48"/>
      <c r="T420" s="1"/>
      <c r="U420" s="1"/>
      <c r="V420" s="21"/>
      <c r="W420" s="21"/>
      <c r="X420" s="21"/>
      <c r="Y420" s="165"/>
    </row>
    <row r="421" spans="1:25" s="1186" customFormat="1" ht="15" hidden="1" customHeight="1">
      <c r="B421" s="1165"/>
      <c r="C421" s="1173"/>
      <c r="D421" s="1761" t="str">
        <f>Text!C142</f>
        <v>Wird beim Sonnenschutzkonzept explizit auch das künftige Klima infolge des Klimawandels mitberücksichtigt? (z. B. durch Simulationen mit Klimadaten der Zukunft)</v>
      </c>
      <c r="E421" s="1761"/>
      <c r="F421" s="1761"/>
      <c r="G421" s="1761"/>
      <c r="H421" s="1761"/>
      <c r="I421" s="1761"/>
      <c r="J421" s="1761"/>
      <c r="K421" s="1761"/>
      <c r="L421" s="1761"/>
      <c r="M421" s="1761"/>
      <c r="N421" s="1761"/>
      <c r="O421" s="1761"/>
      <c r="P421" s="1761"/>
      <c r="Q421" s="1"/>
      <c r="R421" s="1"/>
      <c r="S421" s="48"/>
      <c r="T421" s="1"/>
      <c r="U421" s="1"/>
      <c r="V421" s="1174"/>
      <c r="W421" s="1176"/>
      <c r="X421" s="1176"/>
      <c r="Y421" s="1183" t="str">
        <f>Text!C17</f>
        <v>Info [8]</v>
      </c>
    </row>
    <row r="422" spans="1:25" s="1186" customFormat="1" ht="15" hidden="1" customHeight="1">
      <c r="B422" s="1165"/>
      <c r="C422" s="1173"/>
      <c r="D422" s="1761"/>
      <c r="E422" s="1761"/>
      <c r="F422" s="1761"/>
      <c r="G422" s="1761"/>
      <c r="H422" s="1761"/>
      <c r="I422" s="1761"/>
      <c r="J422" s="1761"/>
      <c r="K422" s="1761"/>
      <c r="L422" s="1761"/>
      <c r="M422" s="1761"/>
      <c r="N422" s="1761"/>
      <c r="O422" s="1761"/>
      <c r="P422" s="1761"/>
      <c r="Q422" s="1"/>
      <c r="R422" s="1"/>
      <c r="S422" s="9"/>
      <c r="T422" s="1"/>
      <c r="U422" s="1"/>
      <c r="V422" s="1176"/>
      <c r="W422" s="1176"/>
      <c r="X422" s="1176"/>
      <c r="Y422" s="1177"/>
    </row>
    <row r="423" spans="1:25" s="123" customFormat="1" ht="15" customHeight="1">
      <c r="B423" s="789"/>
      <c r="C423" s="3"/>
      <c r="D423" s="124"/>
      <c r="E423" s="124"/>
      <c r="F423" s="124"/>
      <c r="G423" s="124"/>
      <c r="H423" s="124"/>
      <c r="I423" s="124"/>
      <c r="J423" s="124"/>
      <c r="K423" s="124"/>
      <c r="L423" s="124"/>
      <c r="M423" s="124"/>
      <c r="N423" s="124"/>
      <c r="O423" s="124"/>
      <c r="P423" s="124"/>
      <c r="Q423" s="1"/>
      <c r="R423" s="1"/>
      <c r="S423" s="48"/>
      <c r="T423" s="1"/>
      <c r="U423" s="1"/>
      <c r="V423" s="21"/>
      <c r="W423" s="21"/>
      <c r="X423" s="21"/>
      <c r="Y423" s="165"/>
    </row>
    <row r="424" spans="1:25" s="1186" customFormat="1" ht="15" customHeight="1">
      <c r="B424" s="1165"/>
      <c r="C424" s="1173"/>
      <c r="D424" s="1761" t="str">
        <f>Text!C143</f>
        <v>Kann eine effiziente Nachtauskühlung (z. B. durch natürliche Fensterlüftung) ohne negative Auswirkungen auf die Sicherheit (Einbruchschutz), die akustische Behaglichkeit (Lärmbelastung) und die Luftqualität gewährleistet werden?</v>
      </c>
      <c r="E424" s="1761"/>
      <c r="F424" s="1761"/>
      <c r="G424" s="1761"/>
      <c r="H424" s="1761"/>
      <c r="I424" s="1761"/>
      <c r="J424" s="1761"/>
      <c r="K424" s="1761"/>
      <c r="L424" s="1761"/>
      <c r="M424" s="1761"/>
      <c r="N424" s="1761"/>
      <c r="O424" s="1761"/>
      <c r="P424" s="1761"/>
      <c r="Q424" s="1"/>
      <c r="R424" s="1"/>
      <c r="S424" s="48"/>
      <c r="T424" s="1"/>
      <c r="U424" s="1"/>
      <c r="V424" s="1174" t="str">
        <f>Text!B143</f>
        <v>K144</v>
      </c>
      <c r="W424" s="1174"/>
      <c r="X424" s="1174"/>
      <c r="Y424" s="1183"/>
    </row>
    <row r="425" spans="1:25" s="1186" customFormat="1" ht="15" customHeight="1">
      <c r="B425" s="1165"/>
      <c r="C425" s="1173"/>
      <c r="D425" s="1761"/>
      <c r="E425" s="1761"/>
      <c r="F425" s="1761"/>
      <c r="G425" s="1761"/>
      <c r="H425" s="1761"/>
      <c r="I425" s="1761"/>
      <c r="J425" s="1761"/>
      <c r="K425" s="1761"/>
      <c r="L425" s="1761"/>
      <c r="M425" s="1761"/>
      <c r="N425" s="1761"/>
      <c r="O425" s="1761"/>
      <c r="P425" s="1761"/>
      <c r="Q425" s="1"/>
      <c r="R425" s="1"/>
      <c r="S425" s="9"/>
      <c r="T425" s="1"/>
      <c r="U425" s="1"/>
      <c r="V425" s="1176"/>
      <c r="W425" s="1176"/>
      <c r="X425" s="1176"/>
      <c r="Y425" s="1177"/>
    </row>
    <row r="426" spans="1:25" s="123" customFormat="1" ht="15" hidden="1" customHeight="1">
      <c r="B426" s="789"/>
      <c r="C426" s="3"/>
      <c r="D426" s="124"/>
      <c r="E426" s="124"/>
      <c r="F426" s="124"/>
      <c r="G426" s="124"/>
      <c r="H426" s="124"/>
      <c r="I426" s="124"/>
      <c r="J426" s="124"/>
      <c r="K426" s="124"/>
      <c r="L426" s="124"/>
      <c r="M426" s="124"/>
      <c r="N426" s="124"/>
      <c r="O426" s="124"/>
      <c r="P426" s="124"/>
      <c r="Q426" s="1"/>
      <c r="R426" s="1"/>
      <c r="S426" s="48"/>
      <c r="T426" s="1"/>
      <c r="U426" s="1"/>
      <c r="V426" s="21"/>
      <c r="W426" s="21"/>
      <c r="X426" s="21"/>
      <c r="Y426" s="165"/>
    </row>
    <row r="427" spans="1:25" s="1186" customFormat="1" ht="15" hidden="1" customHeight="1">
      <c r="B427" s="1165"/>
      <c r="C427" s="1173"/>
      <c r="D427" s="1761" t="str">
        <f>Text!C144</f>
        <v>Ermöglicht das Bauvorhaben eine uneingeschränkte Nachtauskühlung (z. B. durch natürliche Fensterlüftung) ohne bedeutende Beeinträchtigung der akustischen Behaglichkeit?</v>
      </c>
      <c r="E427" s="1761"/>
      <c r="F427" s="1761"/>
      <c r="G427" s="1761"/>
      <c r="H427" s="1761"/>
      <c r="I427" s="1761"/>
      <c r="J427" s="1761"/>
      <c r="K427" s="1761"/>
      <c r="L427" s="1761"/>
      <c r="M427" s="1761"/>
      <c r="N427" s="1761"/>
      <c r="O427" s="1761"/>
      <c r="P427" s="1761"/>
      <c r="Q427" s="1"/>
      <c r="R427" s="1"/>
      <c r="S427" s="48"/>
      <c r="T427" s="1"/>
      <c r="U427" s="1"/>
      <c r="V427" s="1174"/>
      <c r="W427" s="1176"/>
      <c r="X427" s="1176"/>
      <c r="Y427" s="1183"/>
    </row>
    <row r="428" spans="1:25" s="1186" customFormat="1" ht="15" hidden="1" customHeight="1">
      <c r="B428" s="1165"/>
      <c r="C428" s="1173"/>
      <c r="D428" s="1761"/>
      <c r="E428" s="1761"/>
      <c r="F428" s="1761"/>
      <c r="G428" s="1761"/>
      <c r="H428" s="1761"/>
      <c r="I428" s="1761"/>
      <c r="J428" s="1761"/>
      <c r="K428" s="1761"/>
      <c r="L428" s="1761"/>
      <c r="M428" s="1761"/>
      <c r="N428" s="1761"/>
      <c r="O428" s="1761"/>
      <c r="P428" s="1761"/>
      <c r="Q428" s="1"/>
      <c r="R428" s="1"/>
      <c r="S428" s="9"/>
      <c r="T428" s="1"/>
      <c r="U428" s="1"/>
      <c r="V428" s="1176"/>
      <c r="W428" s="1176"/>
      <c r="X428" s="1176"/>
      <c r="Y428" s="1177"/>
    </row>
    <row r="429" spans="1:25" s="123" customFormat="1" ht="15" hidden="1" customHeight="1">
      <c r="B429" s="789"/>
      <c r="C429" s="3"/>
      <c r="D429" s="124"/>
      <c r="E429" s="124"/>
      <c r="F429" s="124"/>
      <c r="G429" s="124"/>
      <c r="H429" s="124"/>
      <c r="I429" s="124"/>
      <c r="J429" s="124"/>
      <c r="K429" s="124"/>
      <c r="L429" s="124"/>
      <c r="M429" s="124"/>
      <c r="N429" s="124"/>
      <c r="O429" s="124"/>
      <c r="P429" s="124"/>
      <c r="Q429" s="1"/>
      <c r="R429" s="1"/>
      <c r="S429" s="48"/>
      <c r="T429" s="1"/>
      <c r="U429" s="1"/>
      <c r="V429" s="21"/>
      <c r="W429" s="21"/>
      <c r="X429" s="21"/>
      <c r="Y429" s="165"/>
    </row>
    <row r="430" spans="1:25" s="1186" customFormat="1" ht="15" hidden="1" customHeight="1">
      <c r="B430" s="1165"/>
      <c r="C430" s="1173"/>
      <c r="D430" s="1761" t="str">
        <f>Text!C145</f>
        <v>Ermöglicht das Bauvorhaben eine uneingeschränkte Nachtauskühlung ohne bedeutende Beeinträchtigung der Luftqualität?</v>
      </c>
      <c r="E430" s="1761"/>
      <c r="F430" s="1761"/>
      <c r="G430" s="1761"/>
      <c r="H430" s="1761"/>
      <c r="I430" s="1761"/>
      <c r="J430" s="1761"/>
      <c r="K430" s="1761"/>
      <c r="L430" s="1761"/>
      <c r="M430" s="1761"/>
      <c r="N430" s="1761"/>
      <c r="O430" s="1761"/>
      <c r="P430" s="1761"/>
      <c r="Q430" s="1"/>
      <c r="R430" s="1"/>
      <c r="S430" s="48"/>
      <c r="T430" s="1"/>
      <c r="U430" s="1"/>
      <c r="V430" s="1174"/>
      <c r="W430" s="1176"/>
      <c r="X430" s="1176"/>
      <c r="Y430" s="1183"/>
    </row>
    <row r="431" spans="1:25" s="1186" customFormat="1" ht="15" hidden="1" customHeight="1">
      <c r="B431" s="1165"/>
      <c r="C431" s="1173"/>
      <c r="D431" s="1761"/>
      <c r="E431" s="1761"/>
      <c r="F431" s="1761"/>
      <c r="G431" s="1761"/>
      <c r="H431" s="1761"/>
      <c r="I431" s="1761"/>
      <c r="J431" s="1761"/>
      <c r="K431" s="1761"/>
      <c r="L431" s="1761"/>
      <c r="M431" s="1761"/>
      <c r="N431" s="1761"/>
      <c r="O431" s="1761"/>
      <c r="P431" s="1761"/>
      <c r="Q431" s="1"/>
      <c r="R431" s="1"/>
      <c r="S431" s="9"/>
      <c r="T431" s="1"/>
      <c r="U431" s="1"/>
      <c r="V431" s="1176"/>
      <c r="W431" s="1176"/>
      <c r="X431" s="1176"/>
      <c r="Y431" s="1177"/>
    </row>
    <row r="432" spans="1:25" s="123" customFormat="1" ht="15" hidden="1" customHeight="1">
      <c r="B432" s="789"/>
      <c r="C432" s="3"/>
      <c r="D432" s="124"/>
      <c r="E432" s="124"/>
      <c r="F432" s="124"/>
      <c r="G432" s="124"/>
      <c r="H432" s="124"/>
      <c r="I432" s="124"/>
      <c r="J432" s="124"/>
      <c r="K432" s="124"/>
      <c r="L432" s="124"/>
      <c r="M432" s="124"/>
      <c r="N432" s="124"/>
      <c r="O432" s="124"/>
      <c r="P432" s="124"/>
      <c r="Q432" s="1"/>
      <c r="R432" s="1"/>
      <c r="S432" s="48"/>
      <c r="T432" s="1"/>
      <c r="U432" s="1"/>
      <c r="V432" s="21"/>
      <c r="W432" s="21"/>
      <c r="X432" s="21"/>
      <c r="Y432" s="165"/>
    </row>
    <row r="433" spans="2:25" s="1186" customFormat="1" ht="15" hidden="1" customHeight="1">
      <c r="B433" s="1165"/>
      <c r="C433" s="1173"/>
      <c r="D433" s="1761" t="str">
        <f>Text!C146</f>
        <v>Ermöglicht das Bauvorhaben eine uneingeschränkte Nachtauskühlung (z. B. durch natürliche Fensterlüftung) bei dennoch hohem Einbruchschutz?</v>
      </c>
      <c r="E433" s="1761"/>
      <c r="F433" s="1761"/>
      <c r="G433" s="1761"/>
      <c r="H433" s="1761"/>
      <c r="I433" s="1761"/>
      <c r="J433" s="1761"/>
      <c r="K433" s="1761"/>
      <c r="L433" s="1761"/>
      <c r="M433" s="1761"/>
      <c r="N433" s="1761"/>
      <c r="O433" s="1761"/>
      <c r="P433" s="1761"/>
      <c r="Q433" s="1"/>
      <c r="R433" s="1"/>
      <c r="S433" s="48"/>
      <c r="T433" s="1"/>
      <c r="U433" s="1"/>
      <c r="V433" s="1174"/>
      <c r="W433" s="1176"/>
      <c r="X433" s="1176"/>
      <c r="Y433" s="1183"/>
    </row>
    <row r="434" spans="2:25" s="1186" customFormat="1" ht="15" hidden="1" customHeight="1">
      <c r="B434" s="1165"/>
      <c r="C434" s="1173"/>
      <c r="D434" s="1761"/>
      <c r="E434" s="1761"/>
      <c r="F434" s="1761"/>
      <c r="G434" s="1761"/>
      <c r="H434" s="1761"/>
      <c r="I434" s="1761"/>
      <c r="J434" s="1761"/>
      <c r="K434" s="1761"/>
      <c r="L434" s="1761"/>
      <c r="M434" s="1761"/>
      <c r="N434" s="1761"/>
      <c r="O434" s="1761"/>
      <c r="P434" s="1761"/>
      <c r="Q434" s="1"/>
      <c r="R434" s="1"/>
      <c r="S434" s="9"/>
      <c r="T434" s="1"/>
      <c r="U434" s="1"/>
      <c r="V434" s="1176"/>
      <c r="W434" s="1176"/>
      <c r="X434" s="1176"/>
      <c r="Y434" s="1177"/>
    </row>
    <row r="435" spans="2:25" s="123" customFormat="1" ht="15" customHeight="1">
      <c r="B435" s="789"/>
      <c r="C435" s="3"/>
      <c r="D435" s="124"/>
      <c r="E435" s="124"/>
      <c r="F435" s="124"/>
      <c r="G435" s="124"/>
      <c r="H435" s="124"/>
      <c r="I435" s="124"/>
      <c r="J435" s="124"/>
      <c r="K435" s="124"/>
      <c r="L435" s="124"/>
      <c r="M435" s="124"/>
      <c r="N435" s="124"/>
      <c r="O435" s="124"/>
      <c r="P435" s="124"/>
      <c r="Q435" s="1"/>
      <c r="R435" s="1"/>
      <c r="S435" s="48"/>
      <c r="T435" s="1"/>
      <c r="U435" s="1"/>
      <c r="V435" s="21"/>
      <c r="W435" s="21"/>
      <c r="X435" s="21"/>
      <c r="Y435" s="165"/>
    </row>
    <row r="436" spans="2:25" s="1186" customFormat="1" ht="29.15" customHeight="1">
      <c r="B436" s="1165"/>
      <c r="C436" s="1173"/>
      <c r="D436" s="1761" t="str">
        <f>Text!C147</f>
        <v>Werden die Anforderungen der MuKEn 2014 bezüglich dem Heizwärmebedarf um mindestens 30 % unterschritten (entspricht Minergie-P Standard) und wird die Behaglichkeit im Winter gemäss SIA 180 nachgewiesen?</v>
      </c>
      <c r="E436" s="1761"/>
      <c r="F436" s="1761"/>
      <c r="G436" s="1761"/>
      <c r="H436" s="1761"/>
      <c r="I436" s="1761"/>
      <c r="J436" s="1761"/>
      <c r="K436" s="1761"/>
      <c r="L436" s="1761"/>
      <c r="M436" s="1761"/>
      <c r="N436" s="1761"/>
      <c r="O436" s="1761"/>
      <c r="P436" s="1761"/>
      <c r="Q436" s="1"/>
      <c r="R436" s="1"/>
      <c r="S436" s="48"/>
      <c r="T436" s="1"/>
      <c r="U436" s="1"/>
      <c r="V436" s="1174">
        <f>Text!B147</f>
        <v>145</v>
      </c>
      <c r="W436" s="1174"/>
      <c r="X436" s="1174"/>
      <c r="Y436" s="1175" t="str">
        <f>Text!C$28</f>
        <v>Info [2] &amp; [4]</v>
      </c>
    </row>
    <row r="437" spans="2:25" s="1186" customFormat="1" ht="15" customHeight="1">
      <c r="B437" s="1165"/>
      <c r="D437" s="1794" t="str">
        <f>Text!C613</f>
        <v>SIA 180:2014 «Wärmeschutz, Feuchteschutz und Raumklima in Gebäuden»</v>
      </c>
      <c r="E437" s="1794"/>
      <c r="F437" s="1794"/>
      <c r="G437" s="1794"/>
      <c r="H437" s="1794"/>
      <c r="I437" s="1794"/>
      <c r="J437" s="1794"/>
      <c r="K437" s="1794"/>
      <c r="L437" s="1794"/>
      <c r="M437" s="1794"/>
      <c r="N437" s="1794"/>
      <c r="O437" s="1794"/>
      <c r="P437" s="1794"/>
      <c r="Q437" s="1"/>
      <c r="R437" s="1"/>
      <c r="S437" s="9"/>
      <c r="T437" s="1"/>
      <c r="U437" s="1"/>
      <c r="Y437" s="1183"/>
    </row>
    <row r="438" spans="2:25" s="123" customFormat="1" ht="15" hidden="1" customHeight="1">
      <c r="B438" s="789"/>
      <c r="C438" s="3"/>
      <c r="D438" s="124"/>
      <c r="E438" s="124"/>
      <c r="F438" s="124"/>
      <c r="G438" s="124"/>
      <c r="H438" s="124"/>
      <c r="I438" s="124"/>
      <c r="J438" s="124"/>
      <c r="K438" s="124"/>
      <c r="L438" s="124"/>
      <c r="M438" s="124"/>
      <c r="N438" s="124"/>
      <c r="O438" s="124"/>
      <c r="P438" s="124"/>
      <c r="Q438" s="1"/>
      <c r="R438" s="1"/>
      <c r="S438" s="48"/>
      <c r="T438" s="1"/>
      <c r="U438" s="1"/>
      <c r="V438" s="21"/>
      <c r="W438" s="21"/>
      <c r="X438" s="21"/>
      <c r="Y438" s="165"/>
    </row>
    <row r="439" spans="2:25" s="1186" customFormat="1" ht="15" hidden="1" customHeight="1">
      <c r="B439" s="1165"/>
      <c r="C439" s="1173"/>
      <c r="D439" s="1761" t="str">
        <f>Text!C148</f>
        <v>Werden ausschliesslich Fenster mit 3-fach-Verglasungen vorgesehen?</v>
      </c>
      <c r="E439" s="1761"/>
      <c r="F439" s="1761"/>
      <c r="G439" s="1761"/>
      <c r="H439" s="1761"/>
      <c r="I439" s="1761"/>
      <c r="J439" s="1761"/>
      <c r="K439" s="1761"/>
      <c r="L439" s="1761"/>
      <c r="M439" s="1761"/>
      <c r="N439" s="1761"/>
      <c r="O439" s="1761"/>
      <c r="P439" s="1761"/>
      <c r="Q439" s="1"/>
      <c r="R439" s="1"/>
      <c r="S439" s="48"/>
      <c r="T439" s="1"/>
      <c r="U439" s="1"/>
      <c r="V439" s="1174"/>
      <c r="W439" s="1176"/>
      <c r="X439" s="1176"/>
      <c r="Y439" s="1183"/>
    </row>
    <row r="440" spans="2:25" s="1186" customFormat="1" ht="15" hidden="1" customHeight="1">
      <c r="B440" s="1165"/>
      <c r="C440" s="1173"/>
      <c r="D440" s="1761"/>
      <c r="E440" s="1761"/>
      <c r="F440" s="1761"/>
      <c r="G440" s="1761"/>
      <c r="H440" s="1761"/>
      <c r="I440" s="1761"/>
      <c r="J440" s="1761"/>
      <c r="K440" s="1761"/>
      <c r="L440" s="1761"/>
      <c r="M440" s="1761"/>
      <c r="N440" s="1761"/>
      <c r="O440" s="1761"/>
      <c r="P440" s="1761"/>
      <c r="Q440" s="1"/>
      <c r="R440" s="1"/>
      <c r="S440" s="9"/>
      <c r="T440" s="1"/>
      <c r="U440" s="1"/>
      <c r="V440" s="1176"/>
      <c r="W440" s="1176"/>
      <c r="X440" s="1176"/>
      <c r="Y440" s="1177"/>
    </row>
    <row r="441" spans="2:25" s="123" customFormat="1" ht="15" hidden="1" customHeight="1">
      <c r="B441" s="789"/>
      <c r="C441" s="3"/>
      <c r="D441" s="125"/>
      <c r="E441" s="125"/>
      <c r="F441" s="125"/>
      <c r="G441" s="125"/>
      <c r="H441" s="125"/>
      <c r="I441" s="125"/>
      <c r="J441" s="125"/>
      <c r="K441" s="125"/>
      <c r="L441" s="125"/>
      <c r="M441" s="125"/>
      <c r="N441" s="125"/>
      <c r="O441" s="125"/>
      <c r="P441" s="125"/>
      <c r="Q441" s="1"/>
      <c r="R441" s="1"/>
      <c r="S441" s="48"/>
      <c r="T441" s="1"/>
      <c r="U441" s="1"/>
      <c r="V441" s="23"/>
      <c r="W441" s="23"/>
      <c r="X441" s="23"/>
      <c r="Y441" s="187"/>
    </row>
    <row r="442" spans="2:25" s="1186" customFormat="1" ht="15" hidden="1" customHeight="1">
      <c r="B442" s="1165"/>
      <c r="C442" s="1173"/>
      <c r="D442" s="1761" t="str">
        <f>Text!C149</f>
        <v>Sind keine raumhohen Verglasungen vorhanden oder werden bei raumhohen Verglasungen die Komfortanforderungen bezüglich Kaltluftabfall eingehalten?</v>
      </c>
      <c r="E442" s="1761"/>
      <c r="F442" s="1761"/>
      <c r="G442" s="1761"/>
      <c r="H442" s="1761"/>
      <c r="I442" s="1761"/>
      <c r="J442" s="1761"/>
      <c r="K442" s="1761"/>
      <c r="L442" s="1761"/>
      <c r="M442" s="1761"/>
      <c r="N442" s="1761"/>
      <c r="O442" s="1761"/>
      <c r="P442" s="1761"/>
      <c r="Q442" s="1"/>
      <c r="R442" s="1"/>
      <c r="S442" s="48"/>
      <c r="T442" s="1"/>
      <c r="U442" s="1"/>
      <c r="V442" s="1174"/>
      <c r="W442" s="1176"/>
      <c r="X442" s="1176"/>
      <c r="Y442" s="1183"/>
    </row>
    <row r="443" spans="2:25" s="1186" customFormat="1" ht="15" hidden="1" customHeight="1">
      <c r="B443" s="1165"/>
      <c r="C443" s="1173"/>
      <c r="D443" s="1761"/>
      <c r="E443" s="1761"/>
      <c r="F443" s="1761"/>
      <c r="G443" s="1761"/>
      <c r="H443" s="1761"/>
      <c r="I443" s="1761"/>
      <c r="J443" s="1761"/>
      <c r="K443" s="1761"/>
      <c r="L443" s="1761"/>
      <c r="M443" s="1761"/>
      <c r="N443" s="1761"/>
      <c r="O443" s="1761"/>
      <c r="P443" s="1761"/>
      <c r="Q443" s="1"/>
      <c r="R443" s="1"/>
      <c r="S443" s="9"/>
      <c r="T443" s="1"/>
      <c r="U443" s="1"/>
      <c r="V443" s="1176"/>
      <c r="W443" s="1176"/>
      <c r="X443" s="1176"/>
      <c r="Y443" s="1177"/>
    </row>
    <row r="444" spans="2:25" s="123" customFormat="1" ht="15" hidden="1" customHeight="1">
      <c r="B444" s="789"/>
      <c r="C444" s="3"/>
      <c r="D444" s="125"/>
      <c r="E444" s="125"/>
      <c r="F444" s="125"/>
      <c r="G444" s="125"/>
      <c r="H444" s="125"/>
      <c r="I444" s="125"/>
      <c r="J444" s="125"/>
      <c r="K444" s="125"/>
      <c r="L444" s="125"/>
      <c r="M444" s="125"/>
      <c r="N444" s="125"/>
      <c r="O444" s="125"/>
      <c r="P444" s="125"/>
      <c r="Q444" s="1"/>
      <c r="R444" s="1"/>
      <c r="S444" s="48"/>
      <c r="T444" s="1"/>
      <c r="U444" s="1"/>
      <c r="V444" s="23"/>
      <c r="W444" s="23"/>
      <c r="X444" s="23"/>
      <c r="Y444" s="187"/>
    </row>
    <row r="445" spans="2:25" s="1186" customFormat="1" ht="15" hidden="1" customHeight="1">
      <c r="B445" s="1165"/>
      <c r="C445" s="1173"/>
      <c r="D445" s="1761" t="str">
        <f>Text!C150</f>
        <v>Wird der Boden gegen unbeheizte Räume oder gegen das Erdreich konsequent und gut gedämmt? (Einhaltung der U-Werte der Einzelbauteile um 
10 % besser als die Anforderungen des kantonalen Energiegesetzes)</v>
      </c>
      <c r="E445" s="1761"/>
      <c r="F445" s="1761"/>
      <c r="G445" s="1761"/>
      <c r="H445" s="1761"/>
      <c r="I445" s="1761"/>
      <c r="J445" s="1761"/>
      <c r="K445" s="1761"/>
      <c r="L445" s="1761"/>
      <c r="M445" s="1761"/>
      <c r="N445" s="1761"/>
      <c r="O445" s="1761"/>
      <c r="P445" s="1761"/>
      <c r="Q445" s="1"/>
      <c r="R445" s="1"/>
      <c r="S445" s="48"/>
      <c r="T445" s="1"/>
      <c r="U445" s="1"/>
      <c r="V445" s="1174"/>
      <c r="W445" s="1176"/>
      <c r="X445" s="1176"/>
      <c r="Y445" s="1183"/>
    </row>
    <row r="446" spans="2:25" s="1186" customFormat="1" ht="15" hidden="1" customHeight="1">
      <c r="B446" s="1165"/>
      <c r="C446" s="1173"/>
      <c r="D446" s="1761"/>
      <c r="E446" s="1761"/>
      <c r="F446" s="1761"/>
      <c r="G446" s="1761"/>
      <c r="H446" s="1761"/>
      <c r="I446" s="1761"/>
      <c r="J446" s="1761"/>
      <c r="K446" s="1761"/>
      <c r="L446" s="1761"/>
      <c r="M446" s="1761"/>
      <c r="N446" s="1761"/>
      <c r="O446" s="1761"/>
      <c r="P446" s="1761"/>
      <c r="Q446" s="1"/>
      <c r="R446" s="1"/>
      <c r="S446" s="9"/>
      <c r="T446" s="1"/>
      <c r="U446" s="1"/>
      <c r="V446" s="1176"/>
      <c r="W446" s="1176"/>
      <c r="X446" s="1176"/>
      <c r="Y446" s="1177"/>
    </row>
    <row r="447" spans="2:25" s="123" customFormat="1" ht="15" hidden="1" customHeight="1">
      <c r="B447" s="789"/>
      <c r="C447" s="3"/>
      <c r="D447" s="125"/>
      <c r="E447" s="125"/>
      <c r="F447" s="125"/>
      <c r="G447" s="125"/>
      <c r="H447" s="125"/>
      <c r="I447" s="125"/>
      <c r="J447" s="125"/>
      <c r="K447" s="125"/>
      <c r="L447" s="125"/>
      <c r="M447" s="125"/>
      <c r="N447" s="125"/>
      <c r="O447" s="125"/>
      <c r="P447" s="125"/>
      <c r="Q447" s="1"/>
      <c r="R447" s="1"/>
      <c r="S447" s="48"/>
      <c r="T447" s="1"/>
      <c r="U447" s="1"/>
      <c r="V447" s="23"/>
      <c r="W447" s="23"/>
      <c r="X447" s="23"/>
      <c r="Y447" s="187"/>
    </row>
    <row r="448" spans="2:25" s="1186" customFormat="1" ht="15" hidden="1" customHeight="1">
      <c r="B448" s="1165"/>
      <c r="C448" s="1173"/>
      <c r="D448" s="1761" t="str">
        <f>Text!C151</f>
        <v xml:space="preserve">Soll die Luftdichtheit der thermischen Gebäudehülle mittels Luftdichtheitsmessung nachgewiesen werden? </v>
      </c>
      <c r="E448" s="1761"/>
      <c r="F448" s="1761"/>
      <c r="G448" s="1761"/>
      <c r="H448" s="1761"/>
      <c r="I448" s="1761"/>
      <c r="J448" s="1761"/>
      <c r="K448" s="1761"/>
      <c r="L448" s="1761"/>
      <c r="M448" s="1761"/>
      <c r="N448" s="1761"/>
      <c r="O448" s="1761"/>
      <c r="P448" s="1761"/>
      <c r="Q448" s="1"/>
      <c r="R448" s="1"/>
      <c r="S448" s="48"/>
      <c r="T448" s="1"/>
      <c r="U448" s="1"/>
      <c r="V448" s="1174"/>
      <c r="W448" s="1176"/>
      <c r="X448" s="1176"/>
      <c r="Y448" s="1183"/>
    </row>
    <row r="449" spans="2:25 16384:16384" s="1186" customFormat="1" ht="15" hidden="1" customHeight="1">
      <c r="B449" s="1165"/>
      <c r="C449" s="1173"/>
      <c r="D449" s="1761"/>
      <c r="E449" s="1761"/>
      <c r="F449" s="1761"/>
      <c r="G449" s="1761"/>
      <c r="H449" s="1761"/>
      <c r="I449" s="1761"/>
      <c r="J449" s="1761"/>
      <c r="K449" s="1761"/>
      <c r="L449" s="1761"/>
      <c r="M449" s="1761"/>
      <c r="N449" s="1761"/>
      <c r="O449" s="1761"/>
      <c r="P449" s="1761"/>
      <c r="Q449" s="1"/>
      <c r="R449" s="1"/>
      <c r="S449" s="9"/>
      <c r="T449" s="1"/>
      <c r="U449" s="1"/>
      <c r="V449" s="1176"/>
      <c r="W449" s="1176"/>
      <c r="X449" s="1176"/>
      <c r="Y449" s="1177"/>
    </row>
    <row r="450" spans="2:25 16384:16384" s="123" customFormat="1" ht="15" customHeight="1">
      <c r="B450" s="789"/>
      <c r="C450" s="4"/>
      <c r="D450" s="124"/>
      <c r="E450" s="124"/>
      <c r="F450" s="124"/>
      <c r="G450" s="124"/>
      <c r="H450" s="124"/>
      <c r="I450" s="124"/>
      <c r="J450" s="124"/>
      <c r="K450" s="124"/>
      <c r="L450" s="124"/>
      <c r="M450" s="124"/>
      <c r="N450" s="124"/>
      <c r="O450" s="124"/>
      <c r="P450" s="125"/>
      <c r="Q450" s="4"/>
      <c r="R450" s="4"/>
      <c r="S450" s="48"/>
      <c r="T450" s="1"/>
      <c r="U450" s="1"/>
      <c r="V450" s="21"/>
      <c r="W450" s="21"/>
      <c r="X450" s="21"/>
      <c r="Y450" s="165"/>
    </row>
    <row r="451" spans="2:25 16384:16384" s="1186" customFormat="1" ht="15" customHeight="1">
      <c r="B451" s="1165"/>
      <c r="C451" s="1173"/>
      <c r="D451" s="1761" t="str">
        <f>Text!C152</f>
        <v>Bestehen in allen Hauptnutzungsräumen des Gebäudes gute Tageslichtverhältnisse und werden diese mit expliziten Tools nachgewiesen? (z. B. Minergie-ECO)</v>
      </c>
      <c r="E451" s="1761"/>
      <c r="F451" s="1761"/>
      <c r="G451" s="1761"/>
      <c r="H451" s="1761"/>
      <c r="I451" s="1761"/>
      <c r="J451" s="1761"/>
      <c r="K451" s="1761"/>
      <c r="L451" s="1761"/>
      <c r="M451" s="1761"/>
      <c r="N451" s="1761"/>
      <c r="O451" s="1761"/>
      <c r="P451" s="1761"/>
      <c r="Q451" s="4"/>
      <c r="R451" s="4"/>
      <c r="S451" s="48"/>
      <c r="T451" s="1"/>
      <c r="U451" s="1"/>
      <c r="V451" s="1174">
        <f>Text!B152</f>
        <v>146</v>
      </c>
      <c r="W451" s="1174"/>
      <c r="Y451" s="1175" t="str">
        <f>Text!C13</f>
        <v>Info [4]</v>
      </c>
    </row>
    <row r="452" spans="2:25 16384:16384" s="1186" customFormat="1" ht="15" customHeight="1">
      <c r="B452" s="1165"/>
      <c r="C452" s="1166"/>
      <c r="D452" s="1761"/>
      <c r="E452" s="1761"/>
      <c r="F452" s="1761"/>
      <c r="G452" s="1761"/>
      <c r="H452" s="1761"/>
      <c r="I452" s="1761"/>
      <c r="J452" s="1761"/>
      <c r="K452" s="1761"/>
      <c r="L452" s="1761"/>
      <c r="M452" s="1761"/>
      <c r="N452" s="1761"/>
      <c r="O452" s="1761"/>
      <c r="P452" s="1761"/>
      <c r="Q452" s="1"/>
      <c r="R452" s="1"/>
      <c r="S452" s="9"/>
      <c r="T452" s="1"/>
      <c r="U452" s="1"/>
      <c r="V452" s="1176"/>
      <c r="W452" s="1176"/>
      <c r="X452" s="1176"/>
      <c r="Y452" s="1188"/>
    </row>
    <row r="453" spans="2:25 16384:16384" s="123" customFormat="1" ht="15" hidden="1" customHeight="1">
      <c r="B453" s="789"/>
      <c r="C453" s="4"/>
      <c r="D453" s="124"/>
      <c r="E453" s="124"/>
      <c r="F453" s="124"/>
      <c r="G453" s="124"/>
      <c r="H453" s="124"/>
      <c r="I453" s="124"/>
      <c r="J453" s="124"/>
      <c r="K453" s="124"/>
      <c r="L453" s="124"/>
      <c r="M453" s="124"/>
      <c r="N453" s="124"/>
      <c r="O453" s="124"/>
      <c r="P453" s="125"/>
      <c r="Q453" s="4"/>
      <c r="R453" s="4"/>
      <c r="S453" s="48"/>
      <c r="T453" s="1"/>
      <c r="U453" s="1"/>
      <c r="V453" s="21"/>
      <c r="W453" s="21"/>
      <c r="X453" s="21"/>
      <c r="Y453" s="165"/>
    </row>
    <row r="454" spans="2:25 16384:16384" s="1186" customFormat="1" ht="15" hidden="1" customHeight="1">
      <c r="B454" s="1165"/>
      <c r="C454" s="1173"/>
      <c r="D454" s="1761" t="str">
        <f>Text!C153</f>
        <v xml:space="preserve">Ist die optimierte Nutzung des Tageslichts Teil des Projektauftrags? </v>
      </c>
      <c r="E454" s="1761"/>
      <c r="F454" s="1761"/>
      <c r="G454" s="1761"/>
      <c r="H454" s="1761"/>
      <c r="I454" s="1761"/>
      <c r="J454" s="1761"/>
      <c r="K454" s="1761"/>
      <c r="L454" s="1761"/>
      <c r="M454" s="1761"/>
      <c r="N454" s="1761"/>
      <c r="O454" s="1761"/>
      <c r="P454" s="1761"/>
      <c r="Q454" s="1"/>
      <c r="R454" s="1"/>
      <c r="S454" s="48"/>
      <c r="T454" s="1"/>
      <c r="U454" s="1"/>
      <c r="V454" s="1174"/>
      <c r="W454" s="1176"/>
      <c r="X454" s="1176"/>
      <c r="Y454" s="1183"/>
    </row>
    <row r="455" spans="2:25 16384:16384" s="1186" customFormat="1" ht="15" hidden="1" customHeight="1">
      <c r="B455" s="1165"/>
      <c r="C455" s="1173"/>
      <c r="D455" s="1761"/>
      <c r="E455" s="1761"/>
      <c r="F455" s="1761"/>
      <c r="G455" s="1761"/>
      <c r="H455" s="1761"/>
      <c r="I455" s="1761"/>
      <c r="J455" s="1761"/>
      <c r="K455" s="1761"/>
      <c r="L455" s="1761"/>
      <c r="M455" s="1761"/>
      <c r="N455" s="1761"/>
      <c r="O455" s="1761"/>
      <c r="P455" s="1761"/>
      <c r="Q455" s="1"/>
      <c r="R455" s="1"/>
      <c r="S455" s="9"/>
      <c r="T455" s="1"/>
      <c r="U455" s="1"/>
      <c r="V455" s="1176"/>
      <c r="W455" s="1176"/>
      <c r="X455" s="1176"/>
      <c r="Y455" s="1177"/>
    </row>
    <row r="456" spans="2:25 16384:16384" s="123" customFormat="1" ht="15" hidden="1" customHeight="1">
      <c r="B456" s="789"/>
      <c r="C456" s="4"/>
      <c r="D456" s="124"/>
      <c r="E456" s="124"/>
      <c r="F456" s="124"/>
      <c r="G456" s="124"/>
      <c r="H456" s="124"/>
      <c r="I456" s="124"/>
      <c r="J456" s="124"/>
      <c r="K456" s="124"/>
      <c r="L456" s="124"/>
      <c r="M456" s="124"/>
      <c r="N456" s="124"/>
      <c r="O456" s="124"/>
      <c r="P456" s="125"/>
      <c r="Q456" s="4"/>
      <c r="R456" s="4"/>
      <c r="S456" s="48"/>
      <c r="T456" s="1"/>
      <c r="U456" s="1"/>
      <c r="V456" s="21"/>
      <c r="W456" s="21"/>
      <c r="X456" s="21"/>
      <c r="Y456" s="165"/>
    </row>
    <row r="457" spans="2:25 16384:16384" s="1186" customFormat="1" ht="15" hidden="1" customHeight="1">
      <c r="B457" s="1165"/>
      <c r="C457" s="1173"/>
      <c r="D457" s="1761" t="str">
        <f>Text!C154</f>
        <v>Ist die Anwendung eines Tageslichtnachweis-Tools vorgesehen?</v>
      </c>
      <c r="E457" s="1761"/>
      <c r="F457" s="1761"/>
      <c r="G457" s="1761"/>
      <c r="H457" s="1761"/>
      <c r="I457" s="1761"/>
      <c r="J457" s="1761"/>
      <c r="K457" s="1761"/>
      <c r="L457" s="1761"/>
      <c r="M457" s="1761"/>
      <c r="N457" s="1761"/>
      <c r="O457" s="1761"/>
      <c r="P457" s="1761"/>
      <c r="Q457" s="1"/>
      <c r="R457" s="1"/>
      <c r="S457" s="48"/>
      <c r="T457" s="1"/>
      <c r="U457" s="1"/>
      <c r="V457" s="1174"/>
      <c r="W457" s="1176"/>
      <c r="X457" s="1176"/>
      <c r="Y457" s="1183"/>
    </row>
    <row r="458" spans="2:25 16384:16384" s="1186" customFormat="1" ht="15" hidden="1" customHeight="1">
      <c r="B458" s="1165"/>
      <c r="C458" s="1173"/>
      <c r="D458" s="1761"/>
      <c r="E458" s="1761"/>
      <c r="F458" s="1761"/>
      <c r="G458" s="1761"/>
      <c r="H458" s="1761"/>
      <c r="I458" s="1761"/>
      <c r="J458" s="1761"/>
      <c r="K458" s="1761"/>
      <c r="L458" s="1761"/>
      <c r="M458" s="1761"/>
      <c r="N458" s="1761"/>
      <c r="O458" s="1761"/>
      <c r="P458" s="1761"/>
      <c r="Q458" s="1"/>
      <c r="R458" s="1"/>
      <c r="S458" s="9"/>
      <c r="T458" s="1"/>
      <c r="U458" s="1"/>
      <c r="V458" s="1176"/>
      <c r="W458" s="1176"/>
      <c r="X458" s="1176"/>
      <c r="Y458" s="1177"/>
    </row>
    <row r="459" spans="2:25 16384:16384" s="123" customFormat="1" ht="15" hidden="1" customHeight="1">
      <c r="B459" s="789"/>
      <c r="C459" s="4"/>
      <c r="D459" s="124"/>
      <c r="E459" s="124"/>
      <c r="F459" s="124"/>
      <c r="G459" s="124"/>
      <c r="H459" s="124"/>
      <c r="I459" s="124"/>
      <c r="J459" s="124"/>
      <c r="K459" s="124"/>
      <c r="L459" s="124"/>
      <c r="M459" s="124"/>
      <c r="N459" s="124"/>
      <c r="O459" s="124"/>
      <c r="P459" s="125"/>
      <c r="Q459" s="4"/>
      <c r="R459" s="4"/>
      <c r="S459" s="48"/>
      <c r="T459" s="1"/>
      <c r="U459" s="1"/>
      <c r="V459" s="21"/>
      <c r="W459" s="21"/>
      <c r="X459" s="21"/>
      <c r="Y459" s="165"/>
    </row>
    <row r="460" spans="2:25 16384:16384" s="1186" customFormat="1" ht="29.15" hidden="1" customHeight="1">
      <c r="B460" s="1165"/>
      <c r="C460" s="1173"/>
      <c r="D460" s="1761" t="str">
        <f>Text!C155</f>
        <v>Werden die Anforderungen zum Tageslicht gemäss Minergie-ECO oder gemäss der Norm SN/EN 17037 "Tageslicht in Gebäuden" als Vorgabe definiert?</v>
      </c>
      <c r="E460" s="1761"/>
      <c r="F460" s="1761"/>
      <c r="G460" s="1761"/>
      <c r="H460" s="1761"/>
      <c r="I460" s="1761"/>
      <c r="J460" s="1761"/>
      <c r="K460" s="1761"/>
      <c r="L460" s="1761"/>
      <c r="M460" s="1761"/>
      <c r="N460" s="1761"/>
      <c r="O460" s="1761"/>
      <c r="P460" s="1761"/>
      <c r="Q460" s="4"/>
      <c r="R460" s="4"/>
      <c r="S460" s="48"/>
      <c r="T460" s="1"/>
      <c r="U460" s="1"/>
      <c r="V460" s="1174"/>
      <c r="W460" s="1174"/>
      <c r="X460" s="1174"/>
      <c r="Y460" s="1175" t="str">
        <f>Text!C13</f>
        <v>Info [4]</v>
      </c>
      <c r="XFD460" s="1189"/>
    </row>
    <row r="461" spans="2:25 16384:16384" s="1186" customFormat="1" ht="15" hidden="1" customHeight="1">
      <c r="B461" s="1165"/>
      <c r="C461" s="1166"/>
      <c r="D461" s="1794" t="str">
        <f>Text!C614</f>
        <v>SN/EN 17037:2019 «Tageslicht in Gebäuden»</v>
      </c>
      <c r="E461" s="1794"/>
      <c r="F461" s="1794"/>
      <c r="G461" s="1794"/>
      <c r="H461" s="1794"/>
      <c r="I461" s="1794"/>
      <c r="J461" s="1794"/>
      <c r="K461" s="1794"/>
      <c r="L461" s="1794"/>
      <c r="M461" s="1794"/>
      <c r="N461" s="1794"/>
      <c r="O461" s="1794"/>
      <c r="P461" s="1794"/>
      <c r="Q461" s="1"/>
      <c r="R461" s="1"/>
      <c r="S461" s="9"/>
      <c r="T461" s="1"/>
      <c r="U461" s="1"/>
      <c r="V461" s="1176"/>
      <c r="W461" s="1176"/>
      <c r="X461" s="1176"/>
      <c r="Y461" s="1177"/>
    </row>
    <row r="462" spans="2:25 16384:16384" s="123" customFormat="1" ht="15" customHeight="1">
      <c r="B462" s="789"/>
      <c r="C462" s="4"/>
      <c r="D462" s="124"/>
      <c r="E462" s="124"/>
      <c r="F462" s="124"/>
      <c r="G462" s="124"/>
      <c r="H462" s="124"/>
      <c r="I462" s="124"/>
      <c r="J462" s="124"/>
      <c r="K462" s="124"/>
      <c r="L462" s="124"/>
      <c r="M462" s="124"/>
      <c r="N462" s="124"/>
      <c r="O462" s="124"/>
      <c r="P462" s="125"/>
      <c r="Q462" s="4"/>
      <c r="R462" s="4"/>
      <c r="S462" s="48"/>
      <c r="T462" s="1"/>
      <c r="U462" s="1"/>
      <c r="V462" s="21"/>
      <c r="W462" s="21"/>
      <c r="X462" s="21"/>
      <c r="Y462" s="165"/>
    </row>
    <row r="463" spans="2:25 16384:16384" s="1186" customFormat="1" ht="15" customHeight="1">
      <c r="B463" s="1165"/>
      <c r="C463" s="1173"/>
      <c r="D463" s="1761" t="str">
        <f>Text!C156</f>
        <v>Werden Massnahmen getroffen, die einen guten visuellen Komfort in Form von Tageslicht, Blendschutz und Ausblick auch bei aktiviertem Sonnenschutz gewährleisten? (z. B. Fenster auf verschiedene Himmelsrichtungen, Sonnenschutzverglasungen)</v>
      </c>
      <c r="E463" s="1761"/>
      <c r="F463" s="1761"/>
      <c r="G463" s="1761"/>
      <c r="H463" s="1761"/>
      <c r="I463" s="1761"/>
      <c r="J463" s="1761"/>
      <c r="K463" s="1761"/>
      <c r="L463" s="1761"/>
      <c r="M463" s="1761"/>
      <c r="N463" s="1761"/>
      <c r="O463" s="1761"/>
      <c r="P463" s="1761"/>
      <c r="Q463" s="4"/>
      <c r="R463" s="4"/>
      <c r="S463" s="48"/>
      <c r="T463" s="1"/>
      <c r="U463" s="1"/>
      <c r="V463" s="1174" t="str">
        <f>Text!B156</f>
        <v>K146</v>
      </c>
      <c r="W463" s="1174"/>
      <c r="X463" s="1174"/>
      <c r="Y463" s="1175"/>
      <c r="XFD463" s="1189"/>
    </row>
    <row r="464" spans="2:25 16384:16384" s="1186" customFormat="1" ht="15" customHeight="1">
      <c r="B464" s="1165"/>
      <c r="C464" s="1166"/>
      <c r="D464" s="1761"/>
      <c r="E464" s="1761"/>
      <c r="F464" s="1761"/>
      <c r="G464" s="1761"/>
      <c r="H464" s="1761"/>
      <c r="I464" s="1761"/>
      <c r="J464" s="1761"/>
      <c r="K464" s="1761"/>
      <c r="L464" s="1761"/>
      <c r="M464" s="1761"/>
      <c r="N464" s="1761"/>
      <c r="O464" s="1761"/>
      <c r="P464" s="1761"/>
      <c r="Q464" s="1"/>
      <c r="R464" s="1"/>
      <c r="S464" s="9"/>
      <c r="T464" s="1"/>
      <c r="U464" s="1"/>
      <c r="V464" s="1176"/>
      <c r="W464" s="1176"/>
      <c r="X464" s="1176"/>
      <c r="Y464" s="1177"/>
    </row>
    <row r="465" spans="2:25" s="123" customFormat="1" ht="15" hidden="1" customHeight="1">
      <c r="B465" s="789"/>
      <c r="C465" s="4"/>
      <c r="D465" s="125"/>
      <c r="E465" s="125"/>
      <c r="F465" s="125"/>
      <c r="G465" s="125"/>
      <c r="H465" s="125"/>
      <c r="I465" s="125"/>
      <c r="J465" s="125"/>
      <c r="K465" s="125"/>
      <c r="L465" s="125"/>
      <c r="M465" s="125"/>
      <c r="N465" s="125"/>
      <c r="O465" s="125"/>
      <c r="P465" s="125"/>
      <c r="Q465" s="1"/>
      <c r="R465" s="1"/>
      <c r="S465" s="8"/>
      <c r="T465" s="1"/>
      <c r="U465" s="1"/>
      <c r="V465" s="21"/>
      <c r="W465" s="21"/>
      <c r="X465" s="21"/>
      <c r="Y465" s="165"/>
    </row>
    <row r="466" spans="2:25" s="1186" customFormat="1" ht="15" hidden="1" customHeight="1">
      <c r="B466" s="1165"/>
      <c r="C466" s="1173"/>
      <c r="D466" s="1761" t="str">
        <f>Text!C157</f>
        <v>Ist in den Aufenthaltsräumen ausreichend Tageslicht vorhanden, selbst wenn der Sonnenschutz aktiv ist?</v>
      </c>
      <c r="E466" s="1761"/>
      <c r="F466" s="1761"/>
      <c r="G466" s="1761"/>
      <c r="H466" s="1761"/>
      <c r="I466" s="1761"/>
      <c r="J466" s="1761"/>
      <c r="K466" s="1761"/>
      <c r="L466" s="1761"/>
      <c r="M466" s="1761"/>
      <c r="N466" s="1761"/>
      <c r="O466" s="1761"/>
      <c r="P466" s="1761"/>
      <c r="Q466" s="1"/>
      <c r="R466" s="1"/>
      <c r="S466" s="48"/>
      <c r="T466" s="1"/>
      <c r="U466" s="1"/>
      <c r="V466" s="1174"/>
      <c r="W466" s="1176"/>
      <c r="X466" s="1176"/>
      <c r="Y466" s="1183"/>
    </row>
    <row r="467" spans="2:25" s="1186" customFormat="1" ht="15" hidden="1" customHeight="1">
      <c r="B467" s="1165"/>
      <c r="C467" s="1173"/>
      <c r="D467" s="1761"/>
      <c r="E467" s="1761"/>
      <c r="F467" s="1761"/>
      <c r="G467" s="1761"/>
      <c r="H467" s="1761"/>
      <c r="I467" s="1761"/>
      <c r="J467" s="1761"/>
      <c r="K467" s="1761"/>
      <c r="L467" s="1761"/>
      <c r="M467" s="1761"/>
      <c r="N467" s="1761"/>
      <c r="O467" s="1761"/>
      <c r="P467" s="1761"/>
      <c r="Q467" s="1"/>
      <c r="R467" s="1"/>
      <c r="S467" s="9"/>
      <c r="T467" s="1"/>
      <c r="U467" s="1"/>
      <c r="V467" s="1176"/>
      <c r="W467" s="1176"/>
      <c r="X467" s="1176"/>
      <c r="Y467" s="1177"/>
    </row>
    <row r="468" spans="2:25" s="123" customFormat="1" ht="15" hidden="1" customHeight="1">
      <c r="B468" s="789"/>
      <c r="C468" s="4"/>
      <c r="D468" s="124"/>
      <c r="E468" s="124"/>
      <c r="F468" s="124"/>
      <c r="G468" s="124"/>
      <c r="H468" s="124"/>
      <c r="I468" s="124"/>
      <c r="J468" s="124"/>
      <c r="K468" s="124"/>
      <c r="L468" s="124"/>
      <c r="M468" s="124"/>
      <c r="N468" s="124"/>
      <c r="O468" s="124"/>
      <c r="P468" s="125"/>
      <c r="Q468" s="4"/>
      <c r="R468" s="4"/>
      <c r="S468" s="48"/>
      <c r="T468" s="1"/>
      <c r="U468" s="1"/>
      <c r="V468" s="21"/>
      <c r="W468" s="21"/>
      <c r="X468" s="21"/>
      <c r="Y468" s="165"/>
    </row>
    <row r="469" spans="2:25" s="1186" customFormat="1" ht="15" hidden="1" customHeight="1">
      <c r="B469" s="1165"/>
      <c r="C469" s="1173"/>
      <c r="D469" s="1761" t="str">
        <f>Text!C158</f>
        <v>Ist die Aussicht nach draussen gewährleistet, wenn der Sonnenschutz aktiv ist?</v>
      </c>
      <c r="E469" s="1761"/>
      <c r="F469" s="1761"/>
      <c r="G469" s="1761"/>
      <c r="H469" s="1761"/>
      <c r="I469" s="1761"/>
      <c r="J469" s="1761"/>
      <c r="K469" s="1761"/>
      <c r="L469" s="1761"/>
      <c r="M469" s="1761"/>
      <c r="N469" s="1761"/>
      <c r="O469" s="1761"/>
      <c r="P469" s="1761"/>
      <c r="Q469" s="1"/>
      <c r="R469" s="1"/>
      <c r="S469" s="48"/>
      <c r="T469" s="1"/>
      <c r="U469" s="1"/>
      <c r="V469" s="1174"/>
      <c r="W469" s="1176"/>
      <c r="X469" s="1176"/>
      <c r="Y469" s="1183"/>
    </row>
    <row r="470" spans="2:25" s="1186" customFormat="1" ht="15" hidden="1" customHeight="1">
      <c r="B470" s="1165"/>
      <c r="C470" s="1173"/>
      <c r="D470" s="1761"/>
      <c r="E470" s="1761"/>
      <c r="F470" s="1761"/>
      <c r="G470" s="1761"/>
      <c r="H470" s="1761"/>
      <c r="I470" s="1761"/>
      <c r="J470" s="1761"/>
      <c r="K470" s="1761"/>
      <c r="L470" s="1761"/>
      <c r="M470" s="1761"/>
      <c r="N470" s="1761"/>
      <c r="O470" s="1761"/>
      <c r="P470" s="1761"/>
      <c r="Q470" s="1"/>
      <c r="R470" s="1"/>
      <c r="S470" s="9"/>
      <c r="T470" s="1"/>
      <c r="U470" s="1"/>
      <c r="V470" s="1176"/>
      <c r="W470" s="1176"/>
      <c r="X470" s="1176"/>
      <c r="Y470" s="1177"/>
    </row>
    <row r="471" spans="2:25" s="123" customFormat="1" ht="15" hidden="1" customHeight="1">
      <c r="B471" s="789"/>
      <c r="C471" s="4"/>
      <c r="D471" s="124"/>
      <c r="E471" s="124"/>
      <c r="F471" s="124"/>
      <c r="G471" s="124"/>
      <c r="H471" s="124"/>
      <c r="I471" s="124"/>
      <c r="J471" s="124"/>
      <c r="K471" s="124"/>
      <c r="L471" s="124"/>
      <c r="M471" s="124"/>
      <c r="N471" s="124"/>
      <c r="O471" s="124"/>
      <c r="P471" s="125"/>
      <c r="Q471" s="4"/>
      <c r="R471" s="4"/>
      <c r="S471" s="48"/>
      <c r="T471" s="1"/>
      <c r="U471" s="1"/>
      <c r="V471" s="21"/>
      <c r="W471" s="21"/>
      <c r="X471" s="21"/>
      <c r="Y471" s="165"/>
    </row>
    <row r="472" spans="2:25" s="1186" customFormat="1" ht="15" hidden="1" customHeight="1">
      <c r="B472" s="1165"/>
      <c r="C472" s="1173"/>
      <c r="D472" s="1761" t="str">
        <f>Text!C159</f>
        <v>Wird ein Blendschutz bereitgestellt, der im Winter bei tiefem Sonnenstand sowohl solare Einträge als auch Tageslicht ermöglicht, ohne dass Personen in Innenräumen geblendet werden?</v>
      </c>
      <c r="E472" s="1761"/>
      <c r="F472" s="1761"/>
      <c r="G472" s="1761"/>
      <c r="H472" s="1761"/>
      <c r="I472" s="1761"/>
      <c r="J472" s="1761"/>
      <c r="K472" s="1761"/>
      <c r="L472" s="1761"/>
      <c r="M472" s="1761"/>
      <c r="N472" s="1761"/>
      <c r="O472" s="1761"/>
      <c r="P472" s="1761"/>
      <c r="Q472" s="1"/>
      <c r="R472" s="1"/>
      <c r="S472" s="48"/>
      <c r="T472" s="1"/>
      <c r="U472" s="1"/>
      <c r="V472" s="1174"/>
      <c r="W472" s="1176"/>
      <c r="X472" s="1176"/>
      <c r="Y472" s="1183"/>
    </row>
    <row r="473" spans="2:25" s="1186" customFormat="1" ht="15" hidden="1" customHeight="1">
      <c r="B473" s="1165"/>
      <c r="C473" s="1173"/>
      <c r="D473" s="1761"/>
      <c r="E473" s="1761"/>
      <c r="F473" s="1761"/>
      <c r="G473" s="1761"/>
      <c r="H473" s="1761"/>
      <c r="I473" s="1761"/>
      <c r="J473" s="1761"/>
      <c r="K473" s="1761"/>
      <c r="L473" s="1761"/>
      <c r="M473" s="1761"/>
      <c r="N473" s="1761"/>
      <c r="O473" s="1761"/>
      <c r="P473" s="1761"/>
      <c r="Q473" s="1"/>
      <c r="R473" s="1"/>
      <c r="S473" s="9"/>
      <c r="T473" s="1"/>
      <c r="U473" s="1"/>
      <c r="V473" s="1176"/>
      <c r="W473" s="1176"/>
      <c r="X473" s="1176"/>
      <c r="Y473" s="1177"/>
    </row>
    <row r="474" spans="2:25" ht="15" customHeight="1">
      <c r="B474" s="794"/>
      <c r="C474" s="1"/>
      <c r="D474" s="125"/>
      <c r="E474" s="125"/>
      <c r="F474" s="125"/>
      <c r="G474" s="125"/>
      <c r="H474" s="125"/>
      <c r="I474" s="125"/>
      <c r="J474" s="125"/>
      <c r="K474" s="125"/>
      <c r="L474" s="125"/>
      <c r="M474" s="125"/>
      <c r="N474" s="125"/>
      <c r="O474" s="125"/>
      <c r="P474" s="125"/>
      <c r="Q474" s="1"/>
      <c r="R474" s="1"/>
      <c r="S474" s="48"/>
      <c r="V474" s="1"/>
      <c r="Y474" s="1"/>
    </row>
    <row r="475" spans="2:25" s="1164" customFormat="1" ht="29.15" customHeight="1">
      <c r="B475" s="1165"/>
      <c r="C475" s="1166"/>
      <c r="D475" s="1761" t="str">
        <f>Text!C160</f>
        <v>Werden im Projekt überall (in Bezug auf Aussenlärm, Innenlärm und Geräusche haustechnischer Anlagen) die erhöhten Schallschutzanforderungen (gemäss der geltenden Norm SIA 181) und die Anforderungen an die Raumakustik umgesetzt?</v>
      </c>
      <c r="E475" s="1761"/>
      <c r="F475" s="1761"/>
      <c r="G475" s="1761"/>
      <c r="H475" s="1761"/>
      <c r="I475" s="1761"/>
      <c r="J475" s="1761"/>
      <c r="K475" s="1761"/>
      <c r="L475" s="1761"/>
      <c r="M475" s="1761"/>
      <c r="N475" s="1761"/>
      <c r="O475" s="1761"/>
      <c r="P475" s="1761"/>
      <c r="Q475" s="124"/>
      <c r="R475" s="1"/>
      <c r="S475" s="48"/>
      <c r="T475" s="1"/>
      <c r="U475" s="1"/>
      <c r="V475" s="1176">
        <f>Text!B160</f>
        <v>147</v>
      </c>
      <c r="W475" s="1176"/>
      <c r="X475" s="1176"/>
      <c r="Y475" s="1175" t="str">
        <f>Text!C$28</f>
        <v>Info [2] &amp; [4]</v>
      </c>
    </row>
    <row r="476" spans="2:25" s="1164" customFormat="1" ht="29.15" customHeight="1">
      <c r="B476" s="1165"/>
      <c r="C476" s="1166"/>
      <c r="D476" s="1794" t="str">
        <f>Text!C615</f>
        <v>SIA 181:2006 «Schallschutz im Hochbau»
SIA 181:2020 «Schallschutz im Hochbau»</v>
      </c>
      <c r="E476" s="1794"/>
      <c r="F476" s="1794"/>
      <c r="G476" s="1794"/>
      <c r="H476" s="1794"/>
      <c r="I476" s="1794"/>
      <c r="J476" s="1794"/>
      <c r="K476" s="1794"/>
      <c r="L476" s="1794"/>
      <c r="M476" s="1794"/>
      <c r="N476" s="1794"/>
      <c r="O476" s="1794"/>
      <c r="P476" s="1794"/>
      <c r="Q476" s="124"/>
      <c r="R476" s="1"/>
      <c r="S476" s="9"/>
      <c r="T476" s="1"/>
      <c r="U476" s="1"/>
      <c r="V476" s="1176"/>
      <c r="W476" s="1176"/>
      <c r="X476" s="1176"/>
      <c r="Y476" s="1177"/>
    </row>
    <row r="477" spans="2:25" hidden="1">
      <c r="B477" s="789"/>
      <c r="D477" s="124"/>
      <c r="E477" s="124"/>
      <c r="F477" s="124"/>
      <c r="G477" s="124"/>
      <c r="H477" s="124"/>
      <c r="I477" s="124"/>
      <c r="J477" s="124"/>
      <c r="K477" s="124"/>
      <c r="L477" s="124"/>
      <c r="M477" s="124"/>
      <c r="N477" s="124"/>
      <c r="O477" s="124"/>
      <c r="P477" s="124"/>
      <c r="Q477" s="123"/>
      <c r="R477" s="1"/>
      <c r="S477" s="48"/>
      <c r="V477" s="21"/>
      <c r="W477" s="21"/>
      <c r="X477" s="21"/>
      <c r="Y477" s="165"/>
    </row>
    <row r="478" spans="2:25" s="1186" customFormat="1" ht="15" hidden="1" customHeight="1">
      <c r="B478" s="1165"/>
      <c r="C478" s="1173"/>
      <c r="D478" s="1761" t="str">
        <f>Text!C161</f>
        <v>Werden die gesetzlichen Mindestanforderungen zum Schallschutz zwischen mehreren Nutzungseinheiten (Luft- und Trittschall) sowie an die Gebäudehülle gemäss der Norm SIA 181 eingehalten?</v>
      </c>
      <c r="E478" s="1761"/>
      <c r="F478" s="1761"/>
      <c r="G478" s="1761"/>
      <c r="H478" s="1761"/>
      <c r="I478" s="1761"/>
      <c r="J478" s="1761"/>
      <c r="K478" s="1761"/>
      <c r="L478" s="1761"/>
      <c r="M478" s="1761"/>
      <c r="N478" s="1761"/>
      <c r="O478" s="1761"/>
      <c r="P478" s="1761"/>
      <c r="Q478" s="1"/>
      <c r="R478" s="1"/>
      <c r="S478" s="48"/>
      <c r="T478" s="1"/>
      <c r="U478" s="1"/>
      <c r="V478" s="1174"/>
      <c r="W478" s="1176"/>
      <c r="X478" s="1176"/>
      <c r="Y478" s="1175" t="str">
        <f>Text!C$11</f>
        <v>Info [2]</v>
      </c>
    </row>
    <row r="479" spans="2:25" s="1186" customFormat="1" ht="15" hidden="1" customHeight="1">
      <c r="B479" s="1165"/>
      <c r="C479" s="1173"/>
      <c r="D479" s="1761"/>
      <c r="E479" s="1761"/>
      <c r="F479" s="1761"/>
      <c r="G479" s="1761"/>
      <c r="H479" s="1761"/>
      <c r="I479" s="1761"/>
      <c r="J479" s="1761"/>
      <c r="K479" s="1761"/>
      <c r="L479" s="1761"/>
      <c r="M479" s="1761"/>
      <c r="N479" s="1761"/>
      <c r="O479" s="1761"/>
      <c r="P479" s="1761"/>
      <c r="Q479" s="1"/>
      <c r="R479" s="1"/>
      <c r="S479" s="9"/>
      <c r="T479" s="1"/>
      <c r="U479" s="1"/>
      <c r="V479" s="1176"/>
      <c r="W479" s="1176"/>
      <c r="X479" s="1176"/>
      <c r="Y479" s="1177"/>
    </row>
    <row r="480" spans="2:25" hidden="1">
      <c r="B480" s="789"/>
      <c r="D480" s="124"/>
      <c r="E480" s="124"/>
      <c r="F480" s="124"/>
      <c r="G480" s="124"/>
      <c r="H480" s="124"/>
      <c r="I480" s="124"/>
      <c r="J480" s="124"/>
      <c r="K480" s="124"/>
      <c r="L480" s="124"/>
      <c r="M480" s="124"/>
      <c r="N480" s="124"/>
      <c r="O480" s="124"/>
      <c r="P480" s="124"/>
      <c r="Q480" s="123"/>
      <c r="R480" s="1"/>
      <c r="S480" s="48"/>
      <c r="V480" s="21"/>
      <c r="W480" s="21"/>
      <c r="X480" s="21"/>
      <c r="Y480" s="165"/>
    </row>
    <row r="481" spans="2:25" s="1186" customFormat="1" ht="15" hidden="1" customHeight="1">
      <c r="B481" s="1165"/>
      <c r="C481" s="1173"/>
      <c r="D481" s="1761" t="str">
        <f>Text!C162</f>
        <v>Werden auch innerhalb dereinzelnen Nutzungseinheiten Massnahmen für einen besseren Schallschutz zwischen Räumen umgesetzt (Luft- und Trittschall)?</v>
      </c>
      <c r="E481" s="1761"/>
      <c r="F481" s="1761"/>
      <c r="G481" s="1761"/>
      <c r="H481" s="1761"/>
      <c r="I481" s="1761"/>
      <c r="J481" s="1761"/>
      <c r="K481" s="1761"/>
      <c r="L481" s="1761"/>
      <c r="M481" s="1761"/>
      <c r="N481" s="1761"/>
      <c r="O481" s="1761"/>
      <c r="P481" s="1761"/>
      <c r="Q481" s="1"/>
      <c r="R481" s="1"/>
      <c r="S481" s="48"/>
      <c r="T481" s="1"/>
      <c r="U481" s="1"/>
      <c r="V481" s="1174"/>
      <c r="W481" s="1176"/>
      <c r="X481" s="1176"/>
      <c r="Y481" s="1183" t="str">
        <f>IF(OR(S$69="Nouvelle construction",S$69="Nuova costruzione",S$69="Neubau",S$69="Construction remplacement",S$69="Nuova costruzione sostitutiva",S$69="Ersatzneubau"),Text!C11,"")</f>
        <v/>
      </c>
    </row>
    <row r="482" spans="2:25" s="1186" customFormat="1" ht="15" hidden="1" customHeight="1">
      <c r="B482" s="1165"/>
      <c r="C482" s="1173"/>
      <c r="D482" s="1761"/>
      <c r="E482" s="1761"/>
      <c r="F482" s="1761"/>
      <c r="G482" s="1761"/>
      <c r="H482" s="1761"/>
      <c r="I482" s="1761"/>
      <c r="J482" s="1761"/>
      <c r="K482" s="1761"/>
      <c r="L482" s="1761"/>
      <c r="M482" s="1761"/>
      <c r="N482" s="1761"/>
      <c r="O482" s="1761"/>
      <c r="P482" s="1761"/>
      <c r="Q482" s="1"/>
      <c r="R482" s="1"/>
      <c r="S482" s="9"/>
      <c r="T482" s="1"/>
      <c r="U482" s="1"/>
      <c r="V482" s="1176"/>
      <c r="W482" s="1176"/>
      <c r="X482" s="1176"/>
      <c r="Y482" s="1177"/>
    </row>
    <row r="483" spans="2:25" hidden="1">
      <c r="B483" s="789"/>
      <c r="D483" s="124"/>
      <c r="E483" s="124"/>
      <c r="F483" s="124"/>
      <c r="G483" s="124"/>
      <c r="H483" s="124"/>
      <c r="I483" s="124"/>
      <c r="J483" s="124"/>
      <c r="K483" s="124"/>
      <c r="L483" s="124"/>
      <c r="M483" s="124"/>
      <c r="N483" s="124"/>
      <c r="O483" s="124"/>
      <c r="P483" s="124"/>
      <c r="Q483" s="123"/>
      <c r="R483" s="1"/>
      <c r="S483" s="48"/>
      <c r="V483" s="21"/>
      <c r="W483" s="21"/>
      <c r="X483" s="21"/>
      <c r="Y483" s="165"/>
    </row>
    <row r="484" spans="2:25" s="1186" customFormat="1" ht="15" hidden="1" customHeight="1">
      <c r="B484" s="1165"/>
      <c r="C484" s="1173"/>
      <c r="D484" s="1761" t="str">
        <f>Text!C163</f>
        <v>Werden Massnahmen zum Schallschutz innerhalb der Nutzungseinheiten (Luft- und Trittschall sowie Geräusche haustechnischer Anlagen) umgesetzt und die Mindestanforderungen (Stufe 1, gemäss Norm SIA 181:2006 Anhang G) eingehalten?</v>
      </c>
      <c r="E484" s="1761"/>
      <c r="F484" s="1761"/>
      <c r="G484" s="1761"/>
      <c r="H484" s="1761"/>
      <c r="I484" s="1761"/>
      <c r="J484" s="1761"/>
      <c r="K484" s="1761"/>
      <c r="L484" s="1761"/>
      <c r="M484" s="1761"/>
      <c r="N484" s="1761"/>
      <c r="O484" s="1761"/>
      <c r="P484" s="1761"/>
      <c r="Q484" s="1"/>
      <c r="R484" s="1"/>
      <c r="S484" s="48"/>
      <c r="T484" s="1"/>
      <c r="U484" s="1"/>
      <c r="V484" s="1174"/>
      <c r="W484" s="1176"/>
      <c r="X484" s="1176"/>
      <c r="Y484" s="1175" t="str">
        <f>Text!C$11</f>
        <v>Info [2]</v>
      </c>
    </row>
    <row r="485" spans="2:25" s="1186" customFormat="1" ht="15" hidden="1" customHeight="1">
      <c r="B485" s="1165"/>
      <c r="C485" s="1173"/>
      <c r="D485" s="1761"/>
      <c r="E485" s="1761"/>
      <c r="F485" s="1761"/>
      <c r="G485" s="1761"/>
      <c r="H485" s="1761"/>
      <c r="I485" s="1761"/>
      <c r="J485" s="1761"/>
      <c r="K485" s="1761"/>
      <c r="L485" s="1761"/>
      <c r="M485" s="1761"/>
      <c r="N485" s="1761"/>
      <c r="O485" s="1761"/>
      <c r="P485" s="1761"/>
      <c r="Q485" s="1"/>
      <c r="R485" s="1"/>
      <c r="S485" s="9"/>
      <c r="T485" s="1"/>
      <c r="U485" s="1"/>
      <c r="V485" s="1176"/>
      <c r="W485" s="1176"/>
      <c r="X485" s="1176"/>
      <c r="Y485" s="1177"/>
    </row>
    <row r="486" spans="2:25" s="123" customFormat="1" ht="15" hidden="1" customHeight="1">
      <c r="B486" s="789"/>
      <c r="C486" s="4"/>
      <c r="D486" s="124"/>
      <c r="E486" s="124"/>
      <c r="F486" s="124"/>
      <c r="G486" s="124"/>
      <c r="H486" s="124"/>
      <c r="I486" s="124"/>
      <c r="J486" s="124"/>
      <c r="K486" s="124"/>
      <c r="L486" s="124"/>
      <c r="M486" s="124"/>
      <c r="N486" s="124"/>
      <c r="O486" s="124"/>
      <c r="P486" s="125"/>
      <c r="Q486" s="4"/>
      <c r="R486" s="4"/>
      <c r="S486" s="48"/>
      <c r="T486" s="1"/>
      <c r="U486" s="1"/>
      <c r="V486" s="21"/>
      <c r="W486" s="21"/>
      <c r="X486" s="21"/>
      <c r="Y486" s="165"/>
    </row>
    <row r="487" spans="2:25" s="1186" customFormat="1" ht="15" hidden="1" customHeight="1">
      <c r="B487" s="1165"/>
      <c r="C487" s="1173"/>
      <c r="D487" s="1761" t="str">
        <f>Text!C164</f>
        <v>Werden Anforderungen an die Raumakustik frühzeitig thematisiert und formuliert?</v>
      </c>
      <c r="E487" s="1761"/>
      <c r="F487" s="1761"/>
      <c r="G487" s="1761"/>
      <c r="H487" s="1761"/>
      <c r="I487" s="1761"/>
      <c r="J487" s="1761"/>
      <c r="K487" s="1761"/>
      <c r="L487" s="1761"/>
      <c r="M487" s="1761"/>
      <c r="N487" s="1761"/>
      <c r="O487" s="1761"/>
      <c r="P487" s="1761"/>
      <c r="Q487" s="1"/>
      <c r="R487" s="1"/>
      <c r="S487" s="48"/>
      <c r="T487" s="1"/>
      <c r="U487" s="1"/>
      <c r="V487" s="1174"/>
      <c r="W487" s="1176"/>
      <c r="X487" s="1176"/>
      <c r="Y487" s="1183" t="str">
        <f>IF(AND(OR(S$72="Bildungsbauten",S$72="Bâtiments d‘enseignement",S$72="Edifici per l‘istruzione",S$72="Administration",S$72="Amministrativo",S$72="Verwaltung"),OR(S$69="Nouvelle construction",S$69="Nuova costruzione",S$69="Neubau",S$69="Construction remplacement",S$69="Nuova costruzione sostitutiva",S$69="Ersatzneubau")),Text!C13,"")</f>
        <v/>
      </c>
    </row>
    <row r="488" spans="2:25" s="1186" customFormat="1" ht="15" hidden="1" customHeight="1">
      <c r="B488" s="1165"/>
      <c r="C488" s="1173"/>
      <c r="D488" s="1761"/>
      <c r="E488" s="1761"/>
      <c r="F488" s="1761"/>
      <c r="G488" s="1761"/>
      <c r="H488" s="1761"/>
      <c r="I488" s="1761"/>
      <c r="J488" s="1761"/>
      <c r="K488" s="1761"/>
      <c r="L488" s="1761"/>
      <c r="M488" s="1761"/>
      <c r="N488" s="1761"/>
      <c r="O488" s="1761"/>
      <c r="P488" s="1761"/>
      <c r="Q488" s="1"/>
      <c r="R488" s="1"/>
      <c r="S488" s="9"/>
      <c r="T488" s="1"/>
      <c r="U488" s="1"/>
      <c r="V488" s="1176"/>
      <c r="W488" s="1176"/>
      <c r="X488" s="1176"/>
      <c r="Y488" s="1177" t="str">
        <f>IF(OR(S$72="Bildungsbauten",S$72="Bâtiments d‘enseignement",S$72="Edifici per l‘istruzione"),Text!C13,"")</f>
        <v/>
      </c>
    </row>
    <row r="489" spans="2:25" ht="15" customHeight="1">
      <c r="B489" s="789"/>
      <c r="C489" s="3"/>
      <c r="D489" s="164"/>
      <c r="E489" s="164"/>
      <c r="F489" s="13"/>
      <c r="G489" s="13"/>
      <c r="H489" s="13"/>
      <c r="I489" s="13"/>
      <c r="J489" s="13"/>
      <c r="K489" s="13"/>
      <c r="L489" s="13"/>
      <c r="M489" s="13"/>
      <c r="N489" s="13"/>
      <c r="O489" s="13"/>
      <c r="P489" s="13"/>
      <c r="Q489" s="1"/>
      <c r="R489" s="1"/>
      <c r="S489" s="48"/>
      <c r="V489" s="21"/>
      <c r="W489" s="21"/>
      <c r="X489" s="21"/>
      <c r="Y489" s="165"/>
    </row>
    <row r="490" spans="2:25" ht="15" customHeight="1">
      <c r="B490" s="789"/>
      <c r="C490" s="3"/>
      <c r="D490" s="164"/>
      <c r="E490" s="164"/>
      <c r="F490" s="801"/>
      <c r="G490" s="801"/>
      <c r="H490" s="801"/>
      <c r="I490" s="801"/>
      <c r="J490" s="801"/>
      <c r="K490" s="801"/>
      <c r="L490" s="801"/>
      <c r="M490" s="801"/>
      <c r="N490" s="801"/>
      <c r="O490" s="801"/>
      <c r="P490" s="801"/>
      <c r="Q490" s="801"/>
      <c r="R490" s="801"/>
      <c r="S490" s="801"/>
      <c r="V490" s="21"/>
      <c r="W490" s="21"/>
      <c r="X490" s="21"/>
      <c r="Y490" s="165"/>
    </row>
    <row r="491" spans="2:25" ht="15" customHeight="1">
      <c r="B491" s="789"/>
      <c r="C491" s="3"/>
      <c r="D491" s="164"/>
      <c r="E491" s="164"/>
      <c r="F491" s="164"/>
      <c r="G491" s="164"/>
      <c r="H491" s="164"/>
      <c r="I491" s="164"/>
      <c r="J491" s="164"/>
      <c r="K491" s="164"/>
      <c r="L491" s="164"/>
      <c r="M491" s="164"/>
      <c r="N491" s="164"/>
      <c r="O491" s="164"/>
      <c r="P491" s="164"/>
      <c r="Q491" s="1"/>
      <c r="R491" s="1"/>
      <c r="S491" s="48"/>
      <c r="V491" s="21"/>
      <c r="W491" s="21"/>
      <c r="X491" s="21"/>
      <c r="Y491" s="165"/>
    </row>
    <row r="492" spans="2:25" ht="15" customHeight="1">
      <c r="B492" s="789"/>
      <c r="C492" s="3"/>
      <c r="D492" s="164"/>
      <c r="E492" s="164"/>
      <c r="F492" s="164"/>
      <c r="G492" s="164"/>
      <c r="H492" s="164"/>
      <c r="I492" s="164"/>
      <c r="J492" s="164"/>
      <c r="K492" s="164"/>
      <c r="L492" s="164"/>
      <c r="M492" s="164"/>
      <c r="N492" s="164"/>
      <c r="O492" s="164"/>
      <c r="P492" s="164"/>
      <c r="Q492" s="1"/>
      <c r="R492" s="1"/>
      <c r="S492" s="48"/>
      <c r="V492" s="21"/>
      <c r="W492" s="21"/>
      <c r="X492" s="21"/>
      <c r="Y492" s="165"/>
    </row>
    <row r="493" spans="2:25" ht="15" customHeight="1">
      <c r="B493" s="789"/>
      <c r="C493" s="3"/>
      <c r="D493" s="164"/>
      <c r="E493" s="164"/>
      <c r="F493" s="164"/>
      <c r="G493" s="164"/>
      <c r="H493" s="164"/>
      <c r="I493" s="164"/>
      <c r="J493" s="164"/>
      <c r="K493" s="164"/>
      <c r="L493" s="164"/>
      <c r="M493" s="164"/>
      <c r="N493" s="164"/>
      <c r="O493" s="164"/>
      <c r="P493" s="164"/>
      <c r="Q493" s="1"/>
      <c r="R493" s="1"/>
      <c r="S493" s="48"/>
      <c r="V493" s="21"/>
      <c r="W493" s="21"/>
      <c r="X493" s="21"/>
      <c r="Y493" s="165"/>
    </row>
    <row r="494" spans="2:25">
      <c r="B494" s="789"/>
      <c r="S494" s="92"/>
      <c r="W494" s="46"/>
      <c r="X494" s="46"/>
      <c r="Y494" s="223"/>
    </row>
    <row r="495" spans="2:25" ht="24.5">
      <c r="B495" s="789"/>
      <c r="D495" s="48"/>
      <c r="I495" s="1806" t="str">
        <f>Text!C166</f>
        <v>Wirtschaft</v>
      </c>
      <c r="J495" s="1806"/>
      <c r="K495" s="1806"/>
      <c r="L495" s="1806"/>
      <c r="M495" s="1806"/>
      <c r="N495" s="1806"/>
      <c r="O495" s="1806"/>
      <c r="P495" s="1806"/>
      <c r="S495" s="92"/>
      <c r="W495" s="46"/>
      <c r="X495" s="46"/>
      <c r="Y495" s="223"/>
    </row>
    <row r="496" spans="2:25" ht="30" customHeight="1">
      <c r="B496" s="789"/>
      <c r="S496" s="92"/>
      <c r="W496" s="46"/>
      <c r="X496" s="46"/>
      <c r="Y496" s="223"/>
    </row>
    <row r="497" spans="2:25" ht="30" customHeight="1">
      <c r="B497" s="789"/>
      <c r="S497" s="92"/>
      <c r="W497" s="46"/>
      <c r="X497" s="46"/>
      <c r="Y497" s="223"/>
    </row>
    <row r="498" spans="2:25" ht="30" customHeight="1">
      <c r="B498" s="789"/>
      <c r="S498" s="92"/>
      <c r="W498" s="46"/>
      <c r="X498" s="46"/>
      <c r="Y498" s="223"/>
    </row>
    <row r="499" spans="2:25" ht="30" customHeight="1">
      <c r="B499" s="789"/>
      <c r="S499" s="92"/>
      <c r="W499" s="46"/>
      <c r="X499" s="46"/>
      <c r="Y499" s="223"/>
    </row>
    <row r="500" spans="2:25" ht="30" customHeight="1">
      <c r="B500" s="789"/>
      <c r="S500" s="92"/>
      <c r="W500" s="46"/>
      <c r="X500" s="46"/>
      <c r="Y500" s="223"/>
    </row>
    <row r="501" spans="2:25" s="1192" customFormat="1">
      <c r="B501" s="1190"/>
      <c r="C501" s="1191"/>
      <c r="P501" s="1191"/>
      <c r="Q501" s="1191"/>
      <c r="R501" s="1191"/>
      <c r="S501" s="1193"/>
      <c r="V501" s="1194"/>
      <c r="W501" s="1195"/>
      <c r="X501" s="1195"/>
      <c r="Y501" s="1196"/>
    </row>
    <row r="502" spans="2:25" s="1192" customFormat="1" ht="18.5">
      <c r="B502" s="1190"/>
      <c r="C502" s="1191"/>
      <c r="I502" s="1807" t="str">
        <f>Text!C167</f>
        <v>Lebenszyklus</v>
      </c>
      <c r="J502" s="1807"/>
      <c r="K502" s="1807"/>
      <c r="L502" s="1807"/>
      <c r="M502" s="1807"/>
      <c r="N502" s="1807"/>
      <c r="O502" s="1807"/>
      <c r="P502" s="1807"/>
      <c r="Q502" s="1191"/>
      <c r="R502" s="1191"/>
      <c r="S502" s="1193"/>
      <c r="V502" s="1194"/>
      <c r="W502" s="1195"/>
      <c r="X502" s="1195"/>
      <c r="Y502" s="1196"/>
    </row>
    <row r="503" spans="2:25" s="1192" customFormat="1" ht="15" customHeight="1">
      <c r="B503" s="1190"/>
      <c r="C503" s="1191"/>
      <c r="I503" s="1197"/>
      <c r="J503" s="1197"/>
      <c r="K503" s="1197"/>
      <c r="L503" s="1197"/>
      <c r="M503" s="1197"/>
      <c r="N503" s="1197"/>
      <c r="O503" s="1197"/>
      <c r="P503" s="1197"/>
      <c r="Q503" s="1191"/>
      <c r="R503" s="1191"/>
      <c r="S503" s="1193"/>
      <c r="V503" s="1194"/>
      <c r="W503" s="1195"/>
      <c r="X503" s="1195"/>
      <c r="Y503" s="1196"/>
    </row>
    <row r="504" spans="2:25" ht="15" customHeight="1">
      <c r="B504" s="789"/>
      <c r="I504" s="116"/>
      <c r="J504" s="116"/>
      <c r="K504" s="116"/>
      <c r="L504" s="116"/>
      <c r="M504" s="116"/>
      <c r="N504" s="116"/>
      <c r="O504" s="116"/>
      <c r="P504" s="116"/>
      <c r="S504" s="92"/>
      <c r="W504" s="46"/>
      <c r="X504" s="46"/>
      <c r="Y504" s="223"/>
    </row>
    <row r="505" spans="2:25" s="1192" customFormat="1" ht="29.15" customHeight="1">
      <c r="B505" s="1190">
        <v>1</v>
      </c>
      <c r="C505" s="1191"/>
      <c r="D505" s="1724" t="str">
        <f>Text!C168</f>
        <v>Werden Lebenszykluskosten (Erstellungskosten, Verwaltungs- und Betriebskosten, Instandsetzungskosten) für das Gebäude ermittelt oder mit expliziten Tools quantitativ oder qualitativ nachgewiesen?</v>
      </c>
      <c r="E505" s="1724"/>
      <c r="F505" s="1724"/>
      <c r="G505" s="1724"/>
      <c r="H505" s="1724"/>
      <c r="I505" s="1724"/>
      <c r="J505" s="1724"/>
      <c r="K505" s="1724"/>
      <c r="L505" s="1724"/>
      <c r="M505" s="1724"/>
      <c r="N505" s="1724"/>
      <c r="O505" s="1724"/>
      <c r="P505" s="1724"/>
      <c r="Q505" s="4"/>
      <c r="R505" s="4"/>
      <c r="S505" s="92"/>
      <c r="T505" s="1"/>
      <c r="U505" s="1"/>
      <c r="V505" s="1198">
        <f>Text!B168</f>
        <v>211</v>
      </c>
      <c r="W505" s="1199"/>
      <c r="X505" s="1199"/>
      <c r="Y505" s="1201" t="str">
        <f>Text!C13</f>
        <v>Info [4]</v>
      </c>
    </row>
    <row r="506" spans="2:25" s="1192" customFormat="1" ht="15" customHeight="1">
      <c r="B506" s="1190"/>
      <c r="C506" s="1191"/>
      <c r="D506" s="1808" t="str">
        <f>Text!C616</f>
        <v>z.B. IFMA-Tool, SNBS-Hilfstool 211</v>
      </c>
      <c r="E506" s="1808"/>
      <c r="F506" s="1808"/>
      <c r="G506" s="1808"/>
      <c r="H506" s="1808"/>
      <c r="I506" s="1808"/>
      <c r="J506" s="1808"/>
      <c r="K506" s="1808"/>
      <c r="L506" s="1808"/>
      <c r="M506" s="1808"/>
      <c r="N506" s="1808"/>
      <c r="O506" s="1808"/>
      <c r="P506" s="1808"/>
      <c r="Q506" s="4"/>
      <c r="R506" s="4"/>
      <c r="S506" s="9"/>
      <c r="T506" s="1"/>
      <c r="U506" s="1"/>
    </row>
    <row r="507" spans="2:25" ht="15" hidden="1" customHeight="1">
      <c r="B507" s="789"/>
      <c r="D507" s="124"/>
      <c r="E507" s="124"/>
      <c r="F507" s="124"/>
      <c r="G507" s="124"/>
      <c r="H507" s="124"/>
      <c r="I507" s="456"/>
      <c r="J507" s="456"/>
      <c r="K507" s="456"/>
      <c r="L507" s="456"/>
      <c r="M507" s="456"/>
      <c r="N507" s="456"/>
      <c r="O507" s="456"/>
      <c r="P507" s="456"/>
      <c r="S507" s="92"/>
      <c r="V507" s="21"/>
      <c r="W507" s="228"/>
      <c r="X507" s="228"/>
      <c r="Y507" s="165"/>
    </row>
    <row r="508" spans="2:25" s="1192" customFormat="1" ht="15" hidden="1" customHeight="1">
      <c r="B508" s="1190"/>
      <c r="C508" s="1203"/>
      <c r="D508" s="1724" t="str">
        <f>Text!C169</f>
        <v>Werden neben den Initialkosten auch langfristige Kosten zur Entscheidungsfindung untersucht?</v>
      </c>
      <c r="E508" s="1724"/>
      <c r="F508" s="1724"/>
      <c r="G508" s="1724"/>
      <c r="H508" s="1724"/>
      <c r="I508" s="1724"/>
      <c r="J508" s="1724"/>
      <c r="K508" s="1724"/>
      <c r="L508" s="1724"/>
      <c r="M508" s="1724"/>
      <c r="N508" s="1724"/>
      <c r="O508" s="1724"/>
      <c r="P508" s="1724"/>
      <c r="Q508" s="4"/>
      <c r="R508" s="4"/>
      <c r="S508" s="92"/>
      <c r="T508" s="1"/>
      <c r="U508" s="1"/>
      <c r="V508" s="1198"/>
      <c r="W508" s="1199"/>
      <c r="X508" s="1199"/>
      <c r="Y508" s="1201"/>
    </row>
    <row r="509" spans="2:25" s="1192" customFormat="1" ht="15" hidden="1" customHeight="1">
      <c r="B509" s="1190"/>
      <c r="C509" s="1191"/>
      <c r="D509" s="1724"/>
      <c r="E509" s="1724"/>
      <c r="F509" s="1724"/>
      <c r="G509" s="1724"/>
      <c r="H509" s="1724"/>
      <c r="I509" s="1724"/>
      <c r="J509" s="1724"/>
      <c r="K509" s="1724"/>
      <c r="L509" s="1724"/>
      <c r="M509" s="1724"/>
      <c r="N509" s="1724"/>
      <c r="O509" s="1724"/>
      <c r="P509" s="1724"/>
      <c r="Q509" s="1"/>
      <c r="R509" s="1"/>
      <c r="S509" s="9"/>
      <c r="T509" s="1"/>
      <c r="U509" s="1"/>
      <c r="V509" s="1198"/>
      <c r="W509" s="1198"/>
      <c r="X509" s="1198"/>
      <c r="Y509" s="1201"/>
    </row>
    <row r="510" spans="2:25" ht="15" hidden="1" customHeight="1">
      <c r="B510" s="789"/>
      <c r="D510" s="124"/>
      <c r="E510" s="124"/>
      <c r="F510" s="124"/>
      <c r="G510" s="124"/>
      <c r="H510" s="124"/>
      <c r="I510" s="456"/>
      <c r="J510" s="456"/>
      <c r="K510" s="456"/>
      <c r="L510" s="456"/>
      <c r="M510" s="456"/>
      <c r="N510" s="456"/>
      <c r="O510" s="456"/>
      <c r="P510" s="456"/>
      <c r="S510" s="92"/>
      <c r="V510" s="21"/>
      <c r="W510" s="228"/>
      <c r="X510" s="228"/>
      <c r="Y510" s="165"/>
    </row>
    <row r="511" spans="2:25" s="1192" customFormat="1" ht="15" hidden="1" customHeight="1">
      <c r="B511" s="1190"/>
      <c r="C511" s="1203"/>
      <c r="D511" s="1724" t="str">
        <f>Text!C170</f>
        <v>Werden die Kosten des Lebenszyklus für das Projekt angemessen betrachtet (Erstellungskosten, Verwaltungs- und Betriebskosten, Instandsetzungskosten; mindestens 50 Jahre)?</v>
      </c>
      <c r="E511" s="1724"/>
      <c r="F511" s="1724"/>
      <c r="G511" s="1724"/>
      <c r="H511" s="1724"/>
      <c r="I511" s="1724"/>
      <c r="J511" s="1724"/>
      <c r="K511" s="1724"/>
      <c r="L511" s="1724"/>
      <c r="M511" s="1724"/>
      <c r="N511" s="1724"/>
      <c r="O511" s="1724"/>
      <c r="P511" s="1724"/>
      <c r="Q511" s="4"/>
      <c r="R511" s="4"/>
      <c r="S511" s="92"/>
      <c r="T511" s="1"/>
      <c r="U511" s="1"/>
      <c r="V511" s="1198"/>
      <c r="W511" s="1199"/>
      <c r="X511" s="1199"/>
      <c r="Y511" s="1201"/>
    </row>
    <row r="512" spans="2:25" s="1192" customFormat="1" ht="15" hidden="1" customHeight="1">
      <c r="B512" s="1190"/>
      <c r="C512" s="1191"/>
      <c r="D512" s="1724"/>
      <c r="E512" s="1724"/>
      <c r="F512" s="1724"/>
      <c r="G512" s="1724"/>
      <c r="H512" s="1724"/>
      <c r="I512" s="1724"/>
      <c r="J512" s="1724"/>
      <c r="K512" s="1724"/>
      <c r="L512" s="1724"/>
      <c r="M512" s="1724"/>
      <c r="N512" s="1724"/>
      <c r="O512" s="1724"/>
      <c r="P512" s="1724"/>
      <c r="Q512" s="1"/>
      <c r="R512" s="1"/>
      <c r="S512" s="9"/>
      <c r="T512" s="1"/>
      <c r="U512" s="1"/>
      <c r="V512" s="1198"/>
      <c r="W512" s="1198"/>
      <c r="X512" s="1198"/>
      <c r="Y512" s="1201"/>
    </row>
    <row r="513" spans="2:25" ht="15" hidden="1" customHeight="1">
      <c r="B513" s="789"/>
      <c r="D513" s="124"/>
      <c r="E513" s="124"/>
      <c r="F513" s="124"/>
      <c r="G513" s="124"/>
      <c r="H513" s="124"/>
      <c r="I513" s="456"/>
      <c r="J513" s="456"/>
      <c r="K513" s="456"/>
      <c r="L513" s="456"/>
      <c r="M513" s="456"/>
      <c r="N513" s="456"/>
      <c r="O513" s="456"/>
      <c r="P513" s="456"/>
      <c r="S513" s="92"/>
      <c r="V513" s="21"/>
      <c r="W513" s="228"/>
      <c r="X513" s="228"/>
      <c r="Y513" s="165"/>
    </row>
    <row r="514" spans="2:25" s="1192" customFormat="1" ht="15" hidden="1" customHeight="1">
      <c r="B514" s="1190"/>
      <c r="C514" s="1203"/>
      <c r="D514" s="1724" t="str">
        <f>Text!C171</f>
        <v>Fliessen Gedanken zur künftigen Reinigung und Pflege des Gebäudes mit in die Kostenermittlung ein?</v>
      </c>
      <c r="E514" s="1724"/>
      <c r="F514" s="1724"/>
      <c r="G514" s="1724"/>
      <c r="H514" s="1724"/>
      <c r="I514" s="1724"/>
      <c r="J514" s="1724"/>
      <c r="K514" s="1724"/>
      <c r="L514" s="1724"/>
      <c r="M514" s="1724"/>
      <c r="N514" s="1724"/>
      <c r="O514" s="1724"/>
      <c r="P514" s="1724"/>
      <c r="Q514" s="4"/>
      <c r="R514" s="4"/>
      <c r="S514" s="92"/>
      <c r="T514" s="1"/>
      <c r="U514" s="1"/>
      <c r="V514" s="1198"/>
      <c r="W514" s="1199"/>
      <c r="X514" s="1199"/>
      <c r="Y514" s="1201"/>
    </row>
    <row r="515" spans="2:25" s="1192" customFormat="1" ht="15" hidden="1" customHeight="1">
      <c r="B515" s="1190"/>
      <c r="C515" s="1191"/>
      <c r="D515" s="1724"/>
      <c r="E515" s="1724"/>
      <c r="F515" s="1724"/>
      <c r="G515" s="1724"/>
      <c r="H515" s="1724"/>
      <c r="I515" s="1724"/>
      <c r="J515" s="1724"/>
      <c r="K515" s="1724"/>
      <c r="L515" s="1724"/>
      <c r="M515" s="1724"/>
      <c r="N515" s="1724"/>
      <c r="O515" s="1724"/>
      <c r="P515" s="1724"/>
      <c r="Q515" s="1"/>
      <c r="R515" s="1"/>
      <c r="S515" s="9"/>
      <c r="T515" s="1"/>
      <c r="U515" s="1"/>
      <c r="V515" s="1198"/>
      <c r="W515" s="1198"/>
      <c r="X515" s="1198"/>
      <c r="Y515" s="1201"/>
    </row>
    <row r="516" spans="2:25" ht="15" customHeight="1">
      <c r="B516" s="789"/>
      <c r="I516" s="116"/>
      <c r="J516" s="116"/>
      <c r="K516" s="116"/>
      <c r="L516" s="116"/>
      <c r="M516" s="116"/>
      <c r="N516" s="116"/>
      <c r="O516" s="116"/>
      <c r="P516" s="116"/>
      <c r="S516" s="92"/>
      <c r="W516" s="46"/>
      <c r="X516" s="46"/>
      <c r="Y516" s="223"/>
    </row>
    <row r="517" spans="2:25" s="1192" customFormat="1" ht="15" customHeight="1">
      <c r="B517" s="1190"/>
      <c r="C517" s="1191"/>
      <c r="D517" s="1724" t="str">
        <f>Text!C172</f>
        <v>Werden die zu erwartenden Auswirkungen des Klimawandels, insbesondere für die Kühllast und den Unterhalt infolge Witterungsschäden, bei den Lebenszykluskosten und im Betriebskonzept berücksichtigt?</v>
      </c>
      <c r="E517" s="1724"/>
      <c r="F517" s="1724"/>
      <c r="G517" s="1724"/>
      <c r="H517" s="1724"/>
      <c r="I517" s="1724"/>
      <c r="J517" s="1724"/>
      <c r="K517" s="1724"/>
      <c r="L517" s="1724"/>
      <c r="M517" s="1724"/>
      <c r="N517" s="1724"/>
      <c r="O517" s="1724"/>
      <c r="P517" s="1724"/>
      <c r="Q517" s="4"/>
      <c r="R517" s="4"/>
      <c r="S517" s="92"/>
      <c r="T517" s="1"/>
      <c r="U517" s="1"/>
      <c r="V517" s="1198" t="str">
        <f>Text!B172</f>
        <v>K211</v>
      </c>
      <c r="W517" s="1199"/>
      <c r="X517" s="1199"/>
      <c r="Y517" s="1200"/>
    </row>
    <row r="518" spans="2:25" s="1192" customFormat="1" ht="15" customHeight="1">
      <c r="B518" s="1190"/>
      <c r="C518" s="1191"/>
      <c r="D518" s="1724"/>
      <c r="E518" s="1724"/>
      <c r="F518" s="1724"/>
      <c r="G518" s="1724"/>
      <c r="H518" s="1724"/>
      <c r="I518" s="1724"/>
      <c r="J518" s="1724"/>
      <c r="K518" s="1724"/>
      <c r="L518" s="1724"/>
      <c r="M518" s="1724"/>
      <c r="N518" s="1724"/>
      <c r="O518" s="1724"/>
      <c r="P518" s="1724"/>
      <c r="Q518" s="4"/>
      <c r="R518" s="4"/>
      <c r="S518" s="9"/>
      <c r="T518" s="1"/>
      <c r="U518" s="1"/>
    </row>
    <row r="519" spans="2:25" ht="15" hidden="1" customHeight="1">
      <c r="B519" s="789"/>
      <c r="D519" s="124"/>
      <c r="E519" s="124"/>
      <c r="F519" s="124"/>
      <c r="G519" s="124"/>
      <c r="H519" s="124"/>
      <c r="I519" s="456"/>
      <c r="J519" s="456"/>
      <c r="K519" s="456"/>
      <c r="L519" s="456"/>
      <c r="M519" s="456"/>
      <c r="N519" s="456"/>
      <c r="O519" s="456"/>
      <c r="P519" s="456"/>
      <c r="S519" s="92"/>
      <c r="V519" s="21"/>
      <c r="W519" s="228"/>
      <c r="X519" s="228"/>
      <c r="Y519" s="165"/>
    </row>
    <row r="520" spans="2:25" s="1192" customFormat="1" ht="15" hidden="1" customHeight="1">
      <c r="B520" s="1190"/>
      <c r="C520" s="1203"/>
      <c r="D520" s="1724" t="str">
        <f>Text!C173</f>
        <v>Werden in den Lebenszykluskosten finanzielle Aufwände in Zusammenhang mit der thermischen Behaglichkeit, insbesondere für die (künftige) Kühlung, untersucht und mitberücksichtigt?</v>
      </c>
      <c r="E520" s="1724"/>
      <c r="F520" s="1724"/>
      <c r="G520" s="1724"/>
      <c r="H520" s="1724"/>
      <c r="I520" s="1724"/>
      <c r="J520" s="1724"/>
      <c r="K520" s="1724"/>
      <c r="L520" s="1724"/>
      <c r="M520" s="1724"/>
      <c r="N520" s="1724"/>
      <c r="O520" s="1724"/>
      <c r="P520" s="1724"/>
      <c r="Q520" s="4"/>
      <c r="R520" s="4"/>
      <c r="S520" s="92"/>
      <c r="T520" s="1"/>
      <c r="U520" s="1"/>
      <c r="V520" s="1198"/>
      <c r="W520" s="1199"/>
      <c r="X520" s="1199"/>
      <c r="Y520" s="1201"/>
    </row>
    <row r="521" spans="2:25" s="1192" customFormat="1" ht="15" hidden="1" customHeight="1">
      <c r="B521" s="1190"/>
      <c r="C521" s="1191"/>
      <c r="D521" s="1724"/>
      <c r="E521" s="1724"/>
      <c r="F521" s="1724"/>
      <c r="G521" s="1724"/>
      <c r="H521" s="1724"/>
      <c r="I521" s="1724"/>
      <c r="J521" s="1724"/>
      <c r="K521" s="1724"/>
      <c r="L521" s="1724"/>
      <c r="M521" s="1724"/>
      <c r="N521" s="1724"/>
      <c r="O521" s="1724"/>
      <c r="P521" s="1724"/>
      <c r="Q521" s="1"/>
      <c r="R521" s="1"/>
      <c r="S521" s="9"/>
      <c r="T521" s="1"/>
      <c r="U521" s="1"/>
      <c r="V521" s="1198"/>
      <c r="W521" s="1198"/>
      <c r="X521" s="1198"/>
      <c r="Y521" s="1201"/>
    </row>
    <row r="522" spans="2:25" ht="15" hidden="1" customHeight="1">
      <c r="B522" s="789"/>
      <c r="D522" s="124"/>
      <c r="E522" s="124"/>
      <c r="F522" s="124"/>
      <c r="G522" s="124"/>
      <c r="H522" s="124"/>
      <c r="I522" s="456"/>
      <c r="J522" s="456"/>
      <c r="K522" s="456"/>
      <c r="L522" s="456"/>
      <c r="M522" s="456"/>
      <c r="N522" s="456"/>
      <c r="O522" s="456"/>
      <c r="P522" s="456"/>
      <c r="S522" s="92"/>
      <c r="V522" s="21"/>
      <c r="W522" s="228"/>
      <c r="X522" s="228"/>
      <c r="Y522" s="165"/>
    </row>
    <row r="523" spans="2:25" s="1192" customFormat="1" ht="15" hidden="1" customHeight="1">
      <c r="B523" s="1190"/>
      <c r="C523" s="1203"/>
      <c r="D523" s="1724" t="str">
        <f>Text!C174</f>
        <v xml:space="preserve">Werden in den Lebenszykluskosten finanzielle Aufwände für den Fassadenunterhalt (intensivere Niederschläge und Winde) untersucht und mitberücksichtigt? </v>
      </c>
      <c r="E523" s="1724"/>
      <c r="F523" s="1724"/>
      <c r="G523" s="1724"/>
      <c r="H523" s="1724"/>
      <c r="I523" s="1724"/>
      <c r="J523" s="1724"/>
      <c r="K523" s="1724"/>
      <c r="L523" s="1724"/>
      <c r="M523" s="1724"/>
      <c r="N523" s="1724"/>
      <c r="O523" s="1724"/>
      <c r="P523" s="1724"/>
      <c r="Q523" s="4"/>
      <c r="R523" s="4"/>
      <c r="S523" s="92"/>
      <c r="T523" s="1"/>
      <c r="U523" s="1"/>
      <c r="V523" s="1198"/>
      <c r="W523" s="1199"/>
      <c r="X523" s="1199"/>
      <c r="Y523" s="1201"/>
    </row>
    <row r="524" spans="2:25" s="1192" customFormat="1" ht="15" hidden="1" customHeight="1">
      <c r="B524" s="1190"/>
      <c r="C524" s="1191"/>
      <c r="D524" s="1724"/>
      <c r="E524" s="1724"/>
      <c r="F524" s="1724"/>
      <c r="G524" s="1724"/>
      <c r="H524" s="1724"/>
      <c r="I524" s="1724"/>
      <c r="J524" s="1724"/>
      <c r="K524" s="1724"/>
      <c r="L524" s="1724"/>
      <c r="M524" s="1724"/>
      <c r="N524" s="1724"/>
      <c r="O524" s="1724"/>
      <c r="P524" s="1724"/>
      <c r="Q524" s="1"/>
      <c r="R524" s="1"/>
      <c r="S524" s="9"/>
      <c r="T524" s="1"/>
      <c r="U524" s="1"/>
      <c r="V524" s="1198"/>
      <c r="W524" s="1198"/>
      <c r="X524" s="1198"/>
      <c r="Y524" s="1201"/>
    </row>
    <row r="525" spans="2:25" ht="15" hidden="1" customHeight="1">
      <c r="B525" s="789"/>
      <c r="D525" s="124"/>
      <c r="E525" s="124"/>
      <c r="F525" s="124"/>
      <c r="G525" s="124"/>
      <c r="H525" s="124"/>
      <c r="I525" s="456"/>
      <c r="J525" s="456"/>
      <c r="K525" s="456"/>
      <c r="L525" s="456"/>
      <c r="M525" s="456"/>
      <c r="N525" s="456"/>
      <c r="O525" s="456"/>
      <c r="P525" s="456"/>
      <c r="S525" s="92"/>
      <c r="V525" s="21"/>
      <c r="W525" s="228"/>
      <c r="X525" s="228"/>
      <c r="Y525" s="165"/>
    </row>
    <row r="526" spans="2:25" s="1192" customFormat="1" ht="15" hidden="1" customHeight="1">
      <c r="B526" s="1190"/>
      <c r="C526" s="1203"/>
      <c r="D526" s="1724" t="str">
        <f>Text!C175</f>
        <v>Sind klimawandelspezifische Massnahmen wie die Minimierung von Überhitzungsstunden in den Innenräumen (z. B. Automatisierung der Nachtauskühlung, Sensibilisierung der Nutzenden) Teil des Betriebskonzepts des Gebäudes?</v>
      </c>
      <c r="E526" s="1724"/>
      <c r="F526" s="1724"/>
      <c r="G526" s="1724"/>
      <c r="H526" s="1724"/>
      <c r="I526" s="1724"/>
      <c r="J526" s="1724"/>
      <c r="K526" s="1724"/>
      <c r="L526" s="1724"/>
      <c r="M526" s="1724"/>
      <c r="N526" s="1724"/>
      <c r="O526" s="1724"/>
      <c r="P526" s="1724"/>
      <c r="Q526" s="4"/>
      <c r="R526" s="4"/>
      <c r="S526" s="92"/>
      <c r="T526" s="1"/>
      <c r="U526" s="1"/>
      <c r="V526" s="1198"/>
      <c r="W526" s="1199"/>
      <c r="X526" s="1199"/>
      <c r="Y526" s="1201"/>
    </row>
    <row r="527" spans="2:25" s="1192" customFormat="1" ht="15" hidden="1" customHeight="1">
      <c r="B527" s="1190"/>
      <c r="C527" s="1191"/>
      <c r="D527" s="1724"/>
      <c r="E527" s="1724"/>
      <c r="F527" s="1724"/>
      <c r="G527" s="1724"/>
      <c r="H527" s="1724"/>
      <c r="I527" s="1724"/>
      <c r="J527" s="1724"/>
      <c r="K527" s="1724"/>
      <c r="L527" s="1724"/>
      <c r="M527" s="1724"/>
      <c r="N527" s="1724"/>
      <c r="O527" s="1724"/>
      <c r="P527" s="1724"/>
      <c r="Q527" s="1"/>
      <c r="R527" s="1"/>
      <c r="S527" s="9"/>
      <c r="T527" s="1"/>
      <c r="U527" s="1"/>
      <c r="V527" s="1198"/>
      <c r="W527" s="1198"/>
      <c r="X527" s="1198"/>
      <c r="Y527" s="1201"/>
    </row>
    <row r="528" spans="2:25" ht="15" customHeight="1">
      <c r="B528" s="794"/>
      <c r="C528" s="1"/>
      <c r="D528" s="125"/>
      <c r="E528" s="125"/>
      <c r="F528" s="125"/>
      <c r="G528" s="125"/>
      <c r="H528" s="125"/>
      <c r="I528" s="125"/>
      <c r="J528" s="125"/>
      <c r="K528" s="125"/>
      <c r="L528" s="125"/>
      <c r="M528" s="125"/>
      <c r="N528" s="125"/>
      <c r="O528" s="125"/>
      <c r="P528" s="125"/>
      <c r="Q528" s="1"/>
      <c r="R528" s="1"/>
      <c r="S528" s="48"/>
      <c r="V528" s="1"/>
      <c r="Y528" s="1"/>
    </row>
    <row r="529" spans="2:25" s="1192" customFormat="1" ht="29.15" customHeight="1">
      <c r="B529" s="1190"/>
      <c r="C529" s="1191"/>
      <c r="D529" s="1724" t="str">
        <f>Text!C176</f>
        <v>Wird das Prinzip der bewirtschaftungsgerechten Planung und Realisierung (gemäss Empfehlung SIA 113) in allen Planungsphasen verfolgt, indem pbFM-Leistungen (planungs- und baubegleitenden Facility Management) phasengerecht umgesetzt werden?</v>
      </c>
      <c r="E529" s="1724"/>
      <c r="F529" s="1724"/>
      <c r="G529" s="1724"/>
      <c r="H529" s="1724"/>
      <c r="I529" s="1724"/>
      <c r="J529" s="1724"/>
      <c r="K529" s="1724"/>
      <c r="L529" s="1724"/>
      <c r="M529" s="1724"/>
      <c r="N529" s="1724"/>
      <c r="O529" s="1724"/>
      <c r="P529" s="1724"/>
      <c r="Q529" s="124"/>
      <c r="R529" s="1"/>
      <c r="S529" s="48"/>
      <c r="T529" s="1"/>
      <c r="U529" s="1"/>
      <c r="V529" s="1198">
        <f>Text!B176</f>
        <v>212</v>
      </c>
      <c r="W529" s="1198"/>
      <c r="X529" s="1198"/>
      <c r="Y529" s="1201" t="str">
        <f>Text!C11</f>
        <v>Info [2]</v>
      </c>
    </row>
    <row r="530" spans="2:25" s="1192" customFormat="1">
      <c r="B530" s="1190"/>
      <c r="C530" s="1191"/>
      <c r="D530" s="1808" t="str">
        <f>Text!C617</f>
        <v>SIA 113:2010 «FM-gerechte Bauplanung und Realisierung»</v>
      </c>
      <c r="E530" s="1808"/>
      <c r="F530" s="1808"/>
      <c r="G530" s="1808"/>
      <c r="H530" s="1808"/>
      <c r="I530" s="1808"/>
      <c r="J530" s="1808"/>
      <c r="K530" s="1808"/>
      <c r="L530" s="1808"/>
      <c r="M530" s="1808"/>
      <c r="N530" s="1808"/>
      <c r="O530" s="1808"/>
      <c r="P530" s="1808"/>
      <c r="Q530" s="124"/>
      <c r="R530" s="1"/>
      <c r="S530" s="9"/>
      <c r="T530" s="1"/>
      <c r="U530" s="1"/>
      <c r="V530" s="1198"/>
      <c r="W530" s="1198"/>
      <c r="X530" s="1198"/>
      <c r="Y530" s="1201"/>
    </row>
    <row r="531" spans="2:25" hidden="1">
      <c r="B531" s="789"/>
      <c r="D531" s="124"/>
      <c r="E531" s="124"/>
      <c r="F531" s="124"/>
      <c r="G531" s="124"/>
      <c r="H531" s="124"/>
      <c r="I531" s="124"/>
      <c r="J531" s="124"/>
      <c r="K531" s="124"/>
      <c r="L531" s="124"/>
      <c r="M531" s="124"/>
      <c r="N531" s="124"/>
      <c r="O531" s="124"/>
      <c r="P531" s="124"/>
      <c r="Q531" s="123"/>
      <c r="R531" s="1"/>
      <c r="S531" s="48"/>
      <c r="V531" s="21"/>
      <c r="W531" s="21"/>
      <c r="X531" s="21"/>
      <c r="Y531" s="165"/>
    </row>
    <row r="532" spans="2:25" s="1192" customFormat="1" ht="15" hidden="1" customHeight="1">
      <c r="B532" s="1190"/>
      <c r="C532" s="1203"/>
      <c r="D532" s="1724" t="str">
        <f>Text!C177</f>
        <v>Werden bewirtschaftungsrelevante Anforderungen bereits in der Phase der Vorstudien evaluiert und in einem Nutzungskonzept berücksichtigt? (z. B. Raumbedarf für FM, Wartungs- und Reinigungsfreundlichkeit)</v>
      </c>
      <c r="E532" s="1724"/>
      <c r="F532" s="1724"/>
      <c r="G532" s="1724"/>
      <c r="H532" s="1724"/>
      <c r="I532" s="1724"/>
      <c r="J532" s="1724"/>
      <c r="K532" s="1724"/>
      <c r="L532" s="1724"/>
      <c r="M532" s="1724"/>
      <c r="N532" s="1724"/>
      <c r="O532" s="1724"/>
      <c r="P532" s="1724"/>
      <c r="Q532" s="4"/>
      <c r="R532" s="4"/>
      <c r="S532" s="92"/>
      <c r="T532" s="1"/>
      <c r="U532" s="1"/>
      <c r="V532" s="1198"/>
      <c r="W532" s="1199"/>
      <c r="X532" s="1199"/>
      <c r="Y532" s="1201"/>
    </row>
    <row r="533" spans="2:25" s="1192" customFormat="1" ht="15" hidden="1" customHeight="1">
      <c r="B533" s="1190"/>
      <c r="C533" s="1191"/>
      <c r="D533" s="1724"/>
      <c r="E533" s="1724"/>
      <c r="F533" s="1724"/>
      <c r="G533" s="1724"/>
      <c r="H533" s="1724"/>
      <c r="I533" s="1724"/>
      <c r="J533" s="1724"/>
      <c r="K533" s="1724"/>
      <c r="L533" s="1724"/>
      <c r="M533" s="1724"/>
      <c r="N533" s="1724"/>
      <c r="O533" s="1724"/>
      <c r="P533" s="1724"/>
      <c r="Q533" s="1"/>
      <c r="R533" s="1"/>
      <c r="S533" s="9"/>
      <c r="T533" s="1"/>
      <c r="U533" s="1"/>
      <c r="V533" s="1198"/>
      <c r="W533" s="1198"/>
      <c r="X533" s="1198"/>
      <c r="Y533" s="1201"/>
    </row>
    <row r="534" spans="2:25" hidden="1">
      <c r="B534" s="789"/>
      <c r="D534" s="124"/>
      <c r="E534" s="124"/>
      <c r="F534" s="124"/>
      <c r="G534" s="124"/>
      <c r="H534" s="124"/>
      <c r="I534" s="124"/>
      <c r="J534" s="124"/>
      <c r="K534" s="124"/>
      <c r="L534" s="124"/>
      <c r="M534" s="124"/>
      <c r="N534" s="124"/>
      <c r="O534" s="124"/>
      <c r="P534" s="124"/>
      <c r="Q534" s="123"/>
      <c r="R534" s="1"/>
      <c r="S534" s="48"/>
      <c r="V534" s="21"/>
      <c r="W534" s="21"/>
      <c r="X534" s="21"/>
      <c r="Y534" s="165"/>
    </row>
    <row r="535" spans="2:25" s="1192" customFormat="1" ht="15" hidden="1" customHeight="1">
      <c r="B535" s="1190"/>
      <c r="C535" s="1203"/>
      <c r="D535" s="1724" t="str">
        <f>Text!C178</f>
        <v>Werden in der Projektierungsphase betriebliche Aspekte bei der Überprüfung von Variantenvergleichen berücksichtigt? (z. B. Energieversorgung, Fassadengestaltung, Beleuchtung etc.)</v>
      </c>
      <c r="E535" s="1724"/>
      <c r="F535" s="1724"/>
      <c r="G535" s="1724"/>
      <c r="H535" s="1724"/>
      <c r="I535" s="1724"/>
      <c r="J535" s="1724"/>
      <c r="K535" s="1724"/>
      <c r="L535" s="1724"/>
      <c r="M535" s="1724"/>
      <c r="N535" s="1724"/>
      <c r="O535" s="1724"/>
      <c r="P535" s="1724"/>
      <c r="Q535" s="4"/>
      <c r="R535" s="4"/>
      <c r="S535" s="92"/>
      <c r="T535" s="1"/>
      <c r="U535" s="1"/>
      <c r="V535" s="1198"/>
      <c r="W535" s="1199"/>
      <c r="X535" s="1199"/>
      <c r="Y535" s="1201"/>
    </row>
    <row r="536" spans="2:25" s="1192" customFormat="1" ht="15" hidden="1" customHeight="1">
      <c r="B536" s="1190"/>
      <c r="C536" s="1191"/>
      <c r="D536" s="1724"/>
      <c r="E536" s="1724"/>
      <c r="F536" s="1724"/>
      <c r="G536" s="1724"/>
      <c r="H536" s="1724"/>
      <c r="I536" s="1724"/>
      <c r="J536" s="1724"/>
      <c r="K536" s="1724"/>
      <c r="L536" s="1724"/>
      <c r="M536" s="1724"/>
      <c r="N536" s="1724"/>
      <c r="O536" s="1724"/>
      <c r="P536" s="1724"/>
      <c r="Q536" s="1"/>
      <c r="R536" s="1"/>
      <c r="S536" s="9"/>
      <c r="T536" s="1"/>
      <c r="U536" s="1"/>
      <c r="V536" s="1198"/>
      <c r="W536" s="1198"/>
      <c r="X536" s="1198"/>
      <c r="Y536" s="1201"/>
    </row>
    <row r="537" spans="2:25" hidden="1">
      <c r="B537" s="789"/>
      <c r="D537" s="124"/>
      <c r="E537" s="124"/>
      <c r="F537" s="124"/>
      <c r="G537" s="124"/>
      <c r="H537" s="124"/>
      <c r="I537" s="124"/>
      <c r="J537" s="124"/>
      <c r="K537" s="124"/>
      <c r="L537" s="124"/>
      <c r="M537" s="124"/>
      <c r="N537" s="124"/>
      <c r="O537" s="124"/>
      <c r="P537" s="124"/>
      <c r="Q537" s="123"/>
      <c r="R537" s="1"/>
      <c r="S537" s="48"/>
      <c r="V537" s="21"/>
      <c r="W537" s="21"/>
      <c r="X537" s="21"/>
      <c r="Y537" s="165"/>
    </row>
    <row r="538" spans="2:25" s="1192" customFormat="1" ht="15" hidden="1" customHeight="1">
      <c r="B538" s="1190"/>
      <c r="C538" s="1203"/>
      <c r="D538" s="1724" t="str">
        <f>Text!C179</f>
        <v>Werden in einem Betriebskonzept die bewirtschaftungsrelevanten Aufgaben und Zuständigkeiten klar definiert?</v>
      </c>
      <c r="E538" s="1724"/>
      <c r="F538" s="1724"/>
      <c r="G538" s="1724"/>
      <c r="H538" s="1724"/>
      <c r="I538" s="1724"/>
      <c r="J538" s="1724"/>
      <c r="K538" s="1724"/>
      <c r="L538" s="1724"/>
      <c r="M538" s="1724"/>
      <c r="N538" s="1724"/>
      <c r="O538" s="1724"/>
      <c r="P538" s="1724"/>
      <c r="Q538" s="4"/>
      <c r="R538" s="4"/>
      <c r="S538" s="92"/>
      <c r="T538" s="1"/>
      <c r="U538" s="1"/>
      <c r="V538" s="1198"/>
      <c r="W538" s="1199"/>
      <c r="X538" s="1199"/>
      <c r="Y538" s="1201"/>
    </row>
    <row r="539" spans="2:25" s="1192" customFormat="1" ht="15" hidden="1" customHeight="1">
      <c r="B539" s="1190"/>
      <c r="C539" s="1191"/>
      <c r="D539" s="1724"/>
      <c r="E539" s="1724"/>
      <c r="F539" s="1724"/>
      <c r="G539" s="1724"/>
      <c r="H539" s="1724"/>
      <c r="I539" s="1724"/>
      <c r="J539" s="1724"/>
      <c r="K539" s="1724"/>
      <c r="L539" s="1724"/>
      <c r="M539" s="1724"/>
      <c r="N539" s="1724"/>
      <c r="O539" s="1724"/>
      <c r="P539" s="1724"/>
      <c r="Q539" s="1"/>
      <c r="R539" s="1"/>
      <c r="S539" s="9"/>
      <c r="T539" s="1"/>
      <c r="U539" s="1"/>
      <c r="V539" s="1198"/>
      <c r="W539" s="1198"/>
      <c r="X539" s="1198"/>
      <c r="Y539" s="1201"/>
    </row>
    <row r="540" spans="2:25" ht="15" hidden="1" customHeight="1">
      <c r="B540" s="789"/>
      <c r="D540" s="124"/>
      <c r="E540" s="124"/>
      <c r="F540" s="124"/>
      <c r="G540" s="124"/>
      <c r="H540" s="124"/>
      <c r="I540" s="456"/>
      <c r="J540" s="456"/>
      <c r="K540" s="456"/>
      <c r="L540" s="456"/>
      <c r="M540" s="456"/>
      <c r="N540" s="456"/>
      <c r="O540" s="456"/>
      <c r="P540" s="456"/>
      <c r="S540" s="92"/>
      <c r="V540" s="21"/>
      <c r="W540" s="228"/>
      <c r="X540" s="228"/>
      <c r="Y540" s="165"/>
    </row>
    <row r="541" spans="2:25" s="1192" customFormat="1" ht="15" hidden="1" customHeight="1">
      <c r="B541" s="1190"/>
      <c r="C541" s="1203"/>
      <c r="D541" s="1724" t="str">
        <f>Text!C180</f>
        <v xml:space="preserve">Wird bei Projektabschluss ein Handbuch mit Angaben zum Betrieb des Gebäudes (u.a. Reinigung, Entsorgung, Logistik) inkl. Wartungs- und Inspektionspläne erstellt? </v>
      </c>
      <c r="E541" s="1724"/>
      <c r="F541" s="1724"/>
      <c r="G541" s="1724"/>
      <c r="H541" s="1724"/>
      <c r="I541" s="1724"/>
      <c r="J541" s="1724"/>
      <c r="K541" s="1724"/>
      <c r="L541" s="1724"/>
      <c r="M541" s="1724"/>
      <c r="N541" s="1724"/>
      <c r="O541" s="1724"/>
      <c r="P541" s="1724"/>
      <c r="Q541" s="4"/>
      <c r="R541" s="4"/>
      <c r="S541" s="92"/>
      <c r="T541" s="1"/>
      <c r="U541" s="1"/>
      <c r="V541" s="1198"/>
      <c r="W541" s="1199"/>
      <c r="X541" s="1199"/>
      <c r="Y541" s="1201"/>
    </row>
    <row r="542" spans="2:25" s="1192" customFormat="1" ht="15" hidden="1" customHeight="1">
      <c r="B542" s="1190"/>
      <c r="C542" s="1191"/>
      <c r="D542" s="1724"/>
      <c r="E542" s="1724"/>
      <c r="F542" s="1724"/>
      <c r="G542" s="1724"/>
      <c r="H542" s="1724"/>
      <c r="I542" s="1724"/>
      <c r="J542" s="1724"/>
      <c r="K542" s="1724"/>
      <c r="L542" s="1724"/>
      <c r="M542" s="1724"/>
      <c r="N542" s="1724"/>
      <c r="O542" s="1724"/>
      <c r="P542" s="1724"/>
      <c r="Q542" s="1"/>
      <c r="R542" s="1"/>
      <c r="S542" s="9"/>
      <c r="T542" s="1"/>
      <c r="U542" s="1"/>
      <c r="V542" s="1198"/>
      <c r="W542" s="1198"/>
      <c r="X542" s="1198"/>
      <c r="Y542" s="1201"/>
    </row>
    <row r="543" spans="2:25" ht="15" customHeight="1">
      <c r="B543" s="789"/>
      <c r="C543" s="3"/>
      <c r="D543" s="124"/>
      <c r="E543" s="124"/>
      <c r="F543" s="124"/>
      <c r="G543" s="124"/>
      <c r="H543" s="124"/>
      <c r="I543" s="124"/>
      <c r="J543" s="124"/>
      <c r="K543" s="124"/>
      <c r="L543" s="124"/>
      <c r="M543" s="124"/>
      <c r="N543" s="124"/>
      <c r="O543" s="124"/>
      <c r="P543" s="124"/>
      <c r="Q543" s="1"/>
      <c r="R543" s="1"/>
      <c r="S543" s="457"/>
      <c r="V543" s="21"/>
      <c r="W543" s="21"/>
      <c r="X543" s="21"/>
      <c r="Y543" s="165"/>
    </row>
    <row r="544" spans="2:25" s="1192" customFormat="1" ht="15" customHeight="1">
      <c r="B544" s="1190"/>
      <c r="C544" s="1203"/>
      <c r="D544" s="1724" t="str">
        <f>Text!C181</f>
        <v>Ist das Gebäude konsequent nach den Prinzipien der Systemtrennung und des zirkulären Bauens konzipiert, um den Austausch von Bauteilen entsprechend ihrem individuellen Lebenszyklus zu ermöglichen?</v>
      </c>
      <c r="E544" s="1724"/>
      <c r="F544" s="1724"/>
      <c r="G544" s="1724"/>
      <c r="H544" s="1724"/>
      <c r="I544" s="1724"/>
      <c r="J544" s="1724"/>
      <c r="K544" s="1724"/>
      <c r="L544" s="1724"/>
      <c r="M544" s="1724"/>
      <c r="N544" s="1724"/>
      <c r="O544" s="1724"/>
      <c r="P544" s="1724"/>
      <c r="Q544" s="1"/>
      <c r="R544" s="1"/>
      <c r="S544" s="48"/>
      <c r="T544" s="1"/>
      <c r="U544" s="1"/>
      <c r="V544" s="1202">
        <f>Text!B181</f>
        <v>213</v>
      </c>
      <c r="W544" s="1198"/>
      <c r="X544" s="1198"/>
      <c r="Y544" s="1201"/>
    </row>
    <row r="545" spans="2:25" s="1192" customFormat="1" ht="15" customHeight="1">
      <c r="B545" s="1190"/>
      <c r="C545" s="1203"/>
      <c r="D545" s="1724"/>
      <c r="E545" s="1724"/>
      <c r="F545" s="1724"/>
      <c r="G545" s="1724"/>
      <c r="H545" s="1724"/>
      <c r="I545" s="1724"/>
      <c r="J545" s="1724"/>
      <c r="K545" s="1724"/>
      <c r="L545" s="1724"/>
      <c r="M545" s="1724"/>
      <c r="N545" s="1724"/>
      <c r="O545" s="1724"/>
      <c r="P545" s="1724"/>
      <c r="Q545" s="1"/>
      <c r="R545" s="1"/>
      <c r="S545" s="9"/>
      <c r="T545" s="1"/>
      <c r="U545" s="1"/>
      <c r="V545" s="1202"/>
      <c r="W545" s="1198"/>
      <c r="X545" s="1198"/>
      <c r="Y545" s="1201"/>
    </row>
    <row r="546" spans="2:25" ht="15" hidden="1" customHeight="1">
      <c r="B546" s="789"/>
      <c r="C546" s="3"/>
      <c r="D546" s="124"/>
      <c r="E546" s="124"/>
      <c r="F546" s="124"/>
      <c r="G546" s="124"/>
      <c r="H546" s="124"/>
      <c r="I546" s="124"/>
      <c r="J546" s="124"/>
      <c r="K546" s="124"/>
      <c r="L546" s="124"/>
      <c r="M546" s="124"/>
      <c r="N546" s="124"/>
      <c r="O546" s="124"/>
      <c r="P546" s="124"/>
      <c r="Q546" s="1"/>
      <c r="R546" s="1"/>
      <c r="S546" s="457"/>
      <c r="V546" s="21"/>
      <c r="W546" s="21"/>
      <c r="X546" s="21"/>
      <c r="Y546" s="165"/>
    </row>
    <row r="547" spans="2:25" s="1192" customFormat="1" ht="15" hidden="1" customHeight="1">
      <c r="B547" s="1190"/>
      <c r="C547" s="1203"/>
      <c r="D547" s="1724" t="str">
        <f>Text!C182</f>
        <v>Ist die Zugänglichkeit zu horizontalen und vertikalen Haustechnik-Installationen (Lüftung und Sanitär) ohne bedeutenden baulichen Aufwand möglich?</v>
      </c>
      <c r="E547" s="1724"/>
      <c r="F547" s="1724"/>
      <c r="G547" s="1724"/>
      <c r="H547" s="1724"/>
      <c r="I547" s="1724"/>
      <c r="J547" s="1724"/>
      <c r="K547" s="1724"/>
      <c r="L547" s="1724"/>
      <c r="M547" s="1724"/>
      <c r="N547" s="1724"/>
      <c r="O547" s="1724"/>
      <c r="P547" s="1724"/>
      <c r="Q547" s="4"/>
      <c r="R547" s="4"/>
      <c r="S547" s="92"/>
      <c r="T547" s="1"/>
      <c r="U547" s="1"/>
      <c r="V547" s="1198"/>
      <c r="W547" s="1199"/>
      <c r="X547" s="1199"/>
      <c r="Y547" s="1201"/>
    </row>
    <row r="548" spans="2:25" s="1192" customFormat="1" ht="15" hidden="1" customHeight="1">
      <c r="B548" s="1190"/>
      <c r="C548" s="1191"/>
      <c r="D548" s="1724"/>
      <c r="E548" s="1724"/>
      <c r="F548" s="1724"/>
      <c r="G548" s="1724"/>
      <c r="H548" s="1724"/>
      <c r="I548" s="1724"/>
      <c r="J548" s="1724"/>
      <c r="K548" s="1724"/>
      <c r="L548" s="1724"/>
      <c r="M548" s="1724"/>
      <c r="N548" s="1724"/>
      <c r="O548" s="1724"/>
      <c r="P548" s="1724"/>
      <c r="Q548" s="1"/>
      <c r="R548" s="1"/>
      <c r="S548" s="9"/>
      <c r="T548" s="1"/>
      <c r="U548" s="1"/>
      <c r="V548" s="1198"/>
      <c r="W548" s="1198"/>
      <c r="X548" s="1198"/>
      <c r="Y548" s="1201"/>
    </row>
    <row r="549" spans="2:25" ht="15" hidden="1" customHeight="1">
      <c r="B549" s="789"/>
      <c r="C549" s="3"/>
      <c r="D549" s="124"/>
      <c r="E549" s="124"/>
      <c r="F549" s="124"/>
      <c r="G549" s="124"/>
      <c r="H549" s="124"/>
      <c r="I549" s="124"/>
      <c r="J549" s="124"/>
      <c r="K549" s="124"/>
      <c r="L549" s="124"/>
      <c r="M549" s="124"/>
      <c r="N549" s="124"/>
      <c r="O549" s="124"/>
      <c r="P549" s="124"/>
      <c r="Q549" s="1"/>
      <c r="R549" s="1"/>
      <c r="S549" s="48"/>
      <c r="V549" s="21"/>
      <c r="W549" s="21"/>
      <c r="X549" s="21"/>
      <c r="Y549" s="165"/>
    </row>
    <row r="550" spans="2:25" s="1192" customFormat="1" ht="15" hidden="1" customHeight="1">
      <c r="B550" s="1190"/>
      <c r="C550" s="1203"/>
      <c r="D550" s="1724" t="str">
        <f>Text!C183</f>
        <v>Sind Technikzentralen so platziert und dimensioniert, dass ein einfacher Ersatz von Gebäudetechnikgeräten möglich ist?</v>
      </c>
      <c r="E550" s="1724"/>
      <c r="F550" s="1724"/>
      <c r="G550" s="1724"/>
      <c r="H550" s="1724"/>
      <c r="I550" s="1724"/>
      <c r="J550" s="1724"/>
      <c r="K550" s="1724"/>
      <c r="L550" s="1724"/>
      <c r="M550" s="1724"/>
      <c r="N550" s="1724"/>
      <c r="O550" s="1724"/>
      <c r="P550" s="1724"/>
      <c r="Q550" s="4"/>
      <c r="R550" s="4"/>
      <c r="S550" s="92"/>
      <c r="T550" s="1"/>
      <c r="U550" s="1"/>
      <c r="V550" s="1198"/>
      <c r="W550" s="1199"/>
      <c r="X550" s="1199"/>
      <c r="Y550" s="1201"/>
    </row>
    <row r="551" spans="2:25" s="1192" customFormat="1" ht="15" hidden="1" customHeight="1">
      <c r="B551" s="1190"/>
      <c r="C551" s="1191"/>
      <c r="D551" s="1724"/>
      <c r="E551" s="1724"/>
      <c r="F551" s="1724"/>
      <c r="G551" s="1724"/>
      <c r="H551" s="1724"/>
      <c r="I551" s="1724"/>
      <c r="J551" s="1724"/>
      <c r="K551" s="1724"/>
      <c r="L551" s="1724"/>
      <c r="M551" s="1724"/>
      <c r="N551" s="1724"/>
      <c r="O551" s="1724"/>
      <c r="P551" s="1724"/>
      <c r="Q551" s="1"/>
      <c r="R551" s="1"/>
      <c r="S551" s="9"/>
      <c r="T551" s="1"/>
      <c r="U551" s="1"/>
      <c r="V551" s="1198"/>
      <c r="W551" s="1198"/>
      <c r="X551" s="1198"/>
      <c r="Y551" s="1201"/>
    </row>
    <row r="552" spans="2:25" ht="15" hidden="1" customHeight="1">
      <c r="B552" s="789"/>
      <c r="C552"/>
      <c r="D552" s="124"/>
      <c r="E552" s="124"/>
      <c r="F552" s="124"/>
      <c r="G552" s="124"/>
      <c r="H552" s="124"/>
      <c r="I552" s="124"/>
      <c r="J552" s="124"/>
      <c r="K552" s="124"/>
      <c r="L552" s="124"/>
      <c r="M552" s="124"/>
      <c r="N552" s="124"/>
      <c r="O552" s="124"/>
      <c r="P552" s="124"/>
      <c r="Q552" s="1"/>
      <c r="R552" s="1"/>
      <c r="S552" s="48"/>
      <c r="V552" s="21"/>
      <c r="W552" s="21"/>
      <c r="X552" s="21"/>
      <c r="Y552" s="165"/>
    </row>
    <row r="553" spans="2:25" s="1192" customFormat="1" ht="15" hidden="1" customHeight="1">
      <c r="B553" s="1190"/>
      <c r="C553" s="1203"/>
      <c r="D553" s="1724" t="str">
        <f>Text!C184</f>
        <v>Wird der Austausch und die Instandsetzung von Bauteilen durch zerstörungsfreien Rückbau konzeptionell ermöglicht (z. B. Fensterersatz ohne Fassadendemontage, Heizungsreparatur ohne Bodenabbruch)?</v>
      </c>
      <c r="E553" s="1724"/>
      <c r="F553" s="1724"/>
      <c r="G553" s="1724"/>
      <c r="H553" s="1724"/>
      <c r="I553" s="1724"/>
      <c r="J553" s="1724"/>
      <c r="K553" s="1724"/>
      <c r="L553" s="1724"/>
      <c r="M553" s="1724"/>
      <c r="N553" s="1724"/>
      <c r="O553" s="1724"/>
      <c r="P553" s="1724"/>
      <c r="Q553" s="4"/>
      <c r="R553" s="4"/>
      <c r="S553" s="92"/>
      <c r="T553" s="1"/>
      <c r="U553" s="1"/>
      <c r="V553" s="1198"/>
      <c r="W553" s="1199"/>
      <c r="X553" s="1199"/>
      <c r="Y553" s="1201"/>
    </row>
    <row r="554" spans="2:25" s="1192" customFormat="1" ht="15" hidden="1" customHeight="1">
      <c r="B554" s="1190"/>
      <c r="C554" s="1191"/>
      <c r="D554" s="1724"/>
      <c r="E554" s="1724"/>
      <c r="F554" s="1724"/>
      <c r="G554" s="1724"/>
      <c r="H554" s="1724"/>
      <c r="I554" s="1724"/>
      <c r="J554" s="1724"/>
      <c r="K554" s="1724"/>
      <c r="L554" s="1724"/>
      <c r="M554" s="1724"/>
      <c r="N554" s="1724"/>
      <c r="O554" s="1724"/>
      <c r="P554" s="1724"/>
      <c r="Q554" s="1"/>
      <c r="R554" s="1"/>
      <c r="S554" s="9"/>
      <c r="T554" s="1"/>
      <c r="U554" s="1"/>
      <c r="V554" s="1198"/>
      <c r="W554" s="1198"/>
      <c r="X554" s="1198"/>
      <c r="Y554" s="1201"/>
    </row>
    <row r="555" spans="2:25" ht="15" hidden="1" customHeight="1">
      <c r="B555" s="794"/>
      <c r="C555" s="796"/>
      <c r="D555" s="124"/>
      <c r="E555" s="124"/>
      <c r="F555" s="124"/>
      <c r="G555" s="124"/>
      <c r="H555" s="124"/>
      <c r="I555" s="124"/>
      <c r="J555" s="124"/>
      <c r="K555" s="124"/>
      <c r="L555" s="124"/>
      <c r="M555" s="124"/>
      <c r="N555" s="124"/>
      <c r="O555" s="124"/>
      <c r="P555" s="124"/>
      <c r="Q555" s="1"/>
      <c r="R555" s="1"/>
      <c r="S555" s="48"/>
      <c r="V555" s="23"/>
      <c r="W555" s="23"/>
      <c r="X555" s="23"/>
      <c r="Y555" s="187"/>
    </row>
    <row r="556" spans="2:25" s="1192" customFormat="1" ht="15" hidden="1" customHeight="1">
      <c r="B556" s="1190"/>
      <c r="C556" s="1203"/>
      <c r="D556" s="1724" t="str">
        <f>Text!C185</f>
        <v>Werden Massnahmen im Sinne des kreislauffähigen Bauens ergriffen (Wiederverwendung von Bauteilen und Dokumentation der Materialien)?</v>
      </c>
      <c r="E556" s="1724"/>
      <c r="F556" s="1724"/>
      <c r="G556" s="1724"/>
      <c r="H556" s="1724"/>
      <c r="I556" s="1724"/>
      <c r="J556" s="1724"/>
      <c r="K556" s="1724"/>
      <c r="L556" s="1724"/>
      <c r="M556" s="1724"/>
      <c r="N556" s="1724"/>
      <c r="O556" s="1724"/>
      <c r="P556" s="1724"/>
      <c r="Q556" s="4"/>
      <c r="R556" s="4"/>
      <c r="S556" s="92"/>
      <c r="T556" s="1"/>
      <c r="U556" s="1"/>
      <c r="V556" s="1198"/>
      <c r="W556" s="1199"/>
      <c r="X556" s="1199"/>
      <c r="Y556" s="1201"/>
    </row>
    <row r="557" spans="2:25" s="1192" customFormat="1" ht="15" hidden="1" customHeight="1">
      <c r="B557" s="1190"/>
      <c r="C557" s="1191"/>
      <c r="D557" s="1724"/>
      <c r="E557" s="1724"/>
      <c r="F557" s="1724"/>
      <c r="G557" s="1724"/>
      <c r="H557" s="1724"/>
      <c r="I557" s="1724"/>
      <c r="J557" s="1724"/>
      <c r="K557" s="1724"/>
      <c r="L557" s="1724"/>
      <c r="M557" s="1724"/>
      <c r="N557" s="1724"/>
      <c r="O557" s="1724"/>
      <c r="P557" s="1724"/>
      <c r="Q557" s="1"/>
      <c r="R557" s="1"/>
      <c r="S557" s="9"/>
      <c r="T557" s="1"/>
      <c r="U557" s="1"/>
      <c r="V557" s="1198"/>
      <c r="W557" s="1198"/>
      <c r="X557" s="1198"/>
      <c r="Y557" s="1201"/>
    </row>
    <row r="558" spans="2:25">
      <c r="B558" s="789"/>
      <c r="D558" s="13"/>
      <c r="E558" s="13"/>
      <c r="F558" s="13"/>
      <c r="G558" s="13"/>
      <c r="H558" s="13"/>
      <c r="I558" s="13"/>
      <c r="J558" s="13"/>
      <c r="K558" s="13"/>
      <c r="L558" s="13"/>
      <c r="M558" s="13"/>
      <c r="N558" s="13"/>
      <c r="O558" s="13"/>
      <c r="P558" s="125"/>
      <c r="S558" s="92"/>
      <c r="W558" s="46"/>
      <c r="X558" s="46"/>
      <c r="Y558" s="223"/>
    </row>
    <row r="559" spans="2:25">
      <c r="B559" s="789"/>
      <c r="S559" s="92"/>
      <c r="W559" s="46"/>
      <c r="X559" s="46"/>
      <c r="Y559" s="223"/>
    </row>
    <row r="560" spans="2:25">
      <c r="B560" s="789"/>
      <c r="S560" s="92"/>
      <c r="W560" s="46"/>
      <c r="X560" s="46"/>
      <c r="Y560" s="223"/>
    </row>
    <row r="561" spans="2:25">
      <c r="B561" s="789"/>
      <c r="S561" s="92"/>
      <c r="W561" s="46"/>
      <c r="X561" s="46"/>
      <c r="Y561" s="223"/>
    </row>
    <row r="562" spans="2:25" s="1192" customFormat="1">
      <c r="B562" s="1190"/>
      <c r="C562" s="1191"/>
      <c r="P562" s="1191"/>
      <c r="Q562" s="1191"/>
      <c r="R562" s="1191"/>
      <c r="S562" s="1193"/>
      <c r="V562" s="1194"/>
      <c r="W562" s="1195"/>
      <c r="X562" s="1195"/>
      <c r="Y562" s="1196"/>
    </row>
    <row r="563" spans="2:25" s="1192" customFormat="1" ht="18.5">
      <c r="B563" s="1190"/>
      <c r="C563" s="1191"/>
      <c r="I563" s="1807" t="str">
        <f>Text!C186</f>
        <v>Nutzbarkeit</v>
      </c>
      <c r="J563" s="1807"/>
      <c r="K563" s="1807"/>
      <c r="L563" s="1807"/>
      <c r="M563" s="1807"/>
      <c r="N563" s="1807"/>
      <c r="O563" s="1807"/>
      <c r="P563" s="1807"/>
      <c r="Q563" s="1191"/>
      <c r="R563" s="1191"/>
      <c r="S563" s="1193"/>
      <c r="V563" s="1194"/>
      <c r="W563" s="1195"/>
      <c r="X563" s="1195"/>
      <c r="Y563" s="1196"/>
    </row>
    <row r="564" spans="2:25" s="1192" customFormat="1" ht="15" customHeight="1">
      <c r="B564" s="1190"/>
      <c r="C564" s="1191"/>
      <c r="I564" s="1197"/>
      <c r="J564" s="1197"/>
      <c r="K564" s="1197"/>
      <c r="L564" s="1197"/>
      <c r="M564" s="1197"/>
      <c r="N564" s="1197"/>
      <c r="O564" s="1197"/>
      <c r="P564" s="1197"/>
      <c r="Q564" s="1191"/>
      <c r="R564" s="1191"/>
      <c r="S564" s="1193"/>
      <c r="V564" s="1194"/>
      <c r="W564" s="1195"/>
      <c r="X564" s="1195"/>
      <c r="Y564" s="1196"/>
    </row>
    <row r="565" spans="2:25">
      <c r="B565" s="789"/>
      <c r="P565" s="1"/>
      <c r="Q565" s="1"/>
      <c r="R565" s="1"/>
      <c r="S565" s="48"/>
      <c r="W565" s="46"/>
      <c r="X565" s="46"/>
      <c r="Y565" s="223"/>
    </row>
    <row r="566" spans="2:25" s="1192" customFormat="1" ht="29.15" customHeight="1">
      <c r="B566" s="1190">
        <v>1</v>
      </c>
      <c r="C566" s="1203"/>
      <c r="D566" s="1724" t="str">
        <f>Text!C187</f>
        <v xml:space="preserve">Wird der Standort hinsichtlich Gefahren durch Erdbeben oder Naturereignisse mit themenspezifischen Online-Tools analysiert und werden entsprechende Massnahmen zum Schutz des Gebäudes und der Nutzenden eingeleitet, um die Schutzziele gemäss SIA 261 zu erfüllen? </v>
      </c>
      <c r="E566" s="1724"/>
      <c r="F566" s="1724"/>
      <c r="G566" s="1724"/>
      <c r="H566" s="1724"/>
      <c r="I566" s="1724"/>
      <c r="J566" s="1724"/>
      <c r="K566" s="1724"/>
      <c r="L566" s="1724"/>
      <c r="M566" s="1724"/>
      <c r="N566" s="1724"/>
      <c r="O566" s="1724"/>
      <c r="P566" s="1724"/>
      <c r="Q566" s="1"/>
      <c r="R566" s="1"/>
      <c r="S566" s="48"/>
      <c r="T566" s="1"/>
      <c r="U566" s="1"/>
      <c r="V566" s="1202">
        <f>Text!B187</f>
        <v>221</v>
      </c>
      <c r="W566" s="1198"/>
      <c r="X566" s="1198"/>
      <c r="Y566" s="1201" t="str">
        <f>Text!C18</f>
        <v>Info [2], [4] &amp; [7]</v>
      </c>
    </row>
    <row r="567" spans="2:25" s="1192" customFormat="1" ht="44.15" customHeight="1">
      <c r="B567" s="1190"/>
      <c r="C567" s="1203"/>
      <c r="D567" s="1808" t="str">
        <f>Text!C618</f>
        <v>SIA 261:2020 «Einwirkungen auf Tragwerke»
SIA 261/1:2020 «Einwirkungen auf Tragwerke − Ergänzende Festlegungen»
Online-Bewertungstool</v>
      </c>
      <c r="E567" s="1808"/>
      <c r="F567" s="1808"/>
      <c r="G567" s="1808"/>
      <c r="H567" s="1808"/>
      <c r="I567" s="1808"/>
      <c r="J567" s="1808"/>
      <c r="K567" s="1808"/>
      <c r="L567" s="1808"/>
      <c r="M567" s="1808"/>
      <c r="N567" s="1808"/>
      <c r="O567" s="1808"/>
      <c r="P567" s="1808"/>
      <c r="Q567" s="1"/>
      <c r="R567" s="1"/>
      <c r="S567" s="9"/>
      <c r="T567" s="1"/>
      <c r="U567" s="1"/>
      <c r="V567" s="1202"/>
      <c r="W567" s="1198"/>
      <c r="X567" s="1198"/>
      <c r="Y567" s="1201"/>
    </row>
    <row r="568" spans="2:25" hidden="1">
      <c r="B568" s="789"/>
      <c r="P568" s="1"/>
      <c r="Q568" s="1"/>
      <c r="R568" s="1"/>
      <c r="S568" s="48"/>
      <c r="W568" s="46"/>
      <c r="X568" s="46"/>
      <c r="Y568" s="223"/>
    </row>
    <row r="569" spans="2:25" s="1192" customFormat="1" ht="15" hidden="1" customHeight="1">
      <c r="B569" s="1190"/>
      <c r="C569" s="1203"/>
      <c r="D569" s="1724" t="str">
        <f>Text!C188</f>
        <v>Stimmt folgende Aussage? ''Am Standort bestehen gemäss themenspezifischer Standortanalyse keine Hinweise auf Gefährdung durch Hochwasser und Oberflächenabfluss oder es werden entsprechende Gegenmassnahmen getroffen''</v>
      </c>
      <c r="E569" s="1724"/>
      <c r="F569" s="1724"/>
      <c r="G569" s="1724"/>
      <c r="H569" s="1724"/>
      <c r="I569" s="1724"/>
      <c r="J569" s="1724"/>
      <c r="K569" s="1724"/>
      <c r="L569" s="1724"/>
      <c r="M569" s="1724"/>
      <c r="N569" s="1724"/>
      <c r="O569" s="1724"/>
      <c r="P569" s="1724"/>
      <c r="Q569" s="4"/>
      <c r="R569" s="4"/>
      <c r="S569" s="92"/>
      <c r="T569" s="1"/>
      <c r="U569" s="1"/>
      <c r="V569" s="1198"/>
      <c r="W569" s="1199"/>
      <c r="X569" s="1199"/>
      <c r="Y569" s="1201" t="str">
        <f>Text!C16</f>
        <v>Info [7]</v>
      </c>
    </row>
    <row r="570" spans="2:25" s="1192" customFormat="1" ht="15" hidden="1" customHeight="1">
      <c r="B570" s="1190"/>
      <c r="C570" s="1191"/>
      <c r="D570" s="1724"/>
      <c r="E570" s="1724"/>
      <c r="F570" s="1724"/>
      <c r="G570" s="1724"/>
      <c r="H570" s="1724"/>
      <c r="I570" s="1724"/>
      <c r="J570" s="1724"/>
      <c r="K570" s="1724"/>
      <c r="L570" s="1724"/>
      <c r="M570" s="1724"/>
      <c r="N570" s="1724"/>
      <c r="O570" s="1724"/>
      <c r="P570" s="1724"/>
      <c r="Q570" s="1"/>
      <c r="R570" s="1"/>
      <c r="S570" s="9"/>
      <c r="T570" s="1"/>
      <c r="U570" s="1"/>
      <c r="V570" s="1198"/>
      <c r="W570" s="1198"/>
      <c r="X570" s="1198"/>
      <c r="Y570" s="1201"/>
    </row>
    <row r="571" spans="2:25" ht="15" hidden="1" customHeight="1">
      <c r="B571" s="789"/>
      <c r="C571" s="3"/>
      <c r="D571" s="13"/>
      <c r="E571" s="13"/>
      <c r="F571" s="13"/>
      <c r="G571" s="13"/>
      <c r="H571" s="13"/>
      <c r="I571" s="13"/>
      <c r="J571" s="13"/>
      <c r="K571" s="13"/>
      <c r="L571" s="13"/>
      <c r="M571" s="13"/>
      <c r="N571" s="13"/>
      <c r="O571" s="13"/>
      <c r="P571" s="13"/>
      <c r="Q571" s="1"/>
      <c r="R571" s="1"/>
      <c r="S571" s="48"/>
      <c r="V571" s="21"/>
      <c r="W571" s="21"/>
      <c r="X571" s="21"/>
      <c r="Y571" s="165"/>
    </row>
    <row r="572" spans="2:25" s="1192" customFormat="1" ht="15" hidden="1" customHeight="1">
      <c r="B572" s="1190"/>
      <c r="C572" s="1203"/>
      <c r="D572" s="1724" t="str">
        <f>Text!C189</f>
        <v>Stimmt folgende Aussage? ''Am Standort bestehen gemäss Standortanalyse keine Hinweise auf Gefährdung durch Lawinen, Murgang, Erdrutsch und Steinschlag oder es werden entsprechende Gegenmassnahmen getroffen''</v>
      </c>
      <c r="E572" s="1724"/>
      <c r="F572" s="1724"/>
      <c r="G572" s="1724"/>
      <c r="H572" s="1724"/>
      <c r="I572" s="1724"/>
      <c r="J572" s="1724"/>
      <c r="K572" s="1724"/>
      <c r="L572" s="1724"/>
      <c r="M572" s="1724"/>
      <c r="N572" s="1724"/>
      <c r="O572" s="1724"/>
      <c r="P572" s="1724"/>
      <c r="Q572" s="4"/>
      <c r="R572" s="4"/>
      <c r="S572" s="92"/>
      <c r="T572" s="1"/>
      <c r="U572" s="1"/>
      <c r="V572" s="1198"/>
      <c r="W572" s="1199"/>
      <c r="X572" s="1199"/>
      <c r="Y572" s="1201" t="str">
        <f>Text!C16</f>
        <v>Info [7]</v>
      </c>
    </row>
    <row r="573" spans="2:25" s="1192" customFormat="1" ht="15" hidden="1" customHeight="1">
      <c r="B573" s="1190"/>
      <c r="C573" s="1191"/>
      <c r="D573" s="1724"/>
      <c r="E573" s="1724"/>
      <c r="F573" s="1724"/>
      <c r="G573" s="1724"/>
      <c r="H573" s="1724"/>
      <c r="I573" s="1724"/>
      <c r="J573" s="1724"/>
      <c r="K573" s="1724"/>
      <c r="L573" s="1724"/>
      <c r="M573" s="1724"/>
      <c r="N573" s="1724"/>
      <c r="O573" s="1724"/>
      <c r="P573" s="1724"/>
      <c r="Q573" s="1"/>
      <c r="R573" s="1"/>
      <c r="S573" s="9"/>
      <c r="T573" s="1"/>
      <c r="U573" s="1"/>
      <c r="V573" s="1198"/>
      <c r="W573" s="1198"/>
      <c r="X573" s="1198"/>
      <c r="Y573" s="1201"/>
    </row>
    <row r="574" spans="2:25" ht="15" hidden="1" customHeight="1">
      <c r="B574" s="789"/>
      <c r="C574" s="3"/>
      <c r="D574" s="13"/>
      <c r="E574" s="13"/>
      <c r="F574" s="13"/>
      <c r="G574" s="13"/>
      <c r="H574" s="13"/>
      <c r="I574" s="13"/>
      <c r="J574" s="13"/>
      <c r="K574" s="13"/>
      <c r="L574" s="13"/>
      <c r="M574" s="13"/>
      <c r="N574" s="13"/>
      <c r="O574" s="13"/>
      <c r="P574" s="13"/>
      <c r="Q574" s="1"/>
      <c r="R574" s="1"/>
      <c r="S574" s="48"/>
      <c r="V574" s="21"/>
      <c r="W574" s="21"/>
      <c r="X574" s="21"/>
      <c r="Y574" s="165"/>
    </row>
    <row r="575" spans="2:25" s="1192" customFormat="1" ht="15" hidden="1" customHeight="1">
      <c r="B575" s="1190"/>
      <c r="C575" s="1203"/>
      <c r="D575" s="1724" t="str">
        <f>Text!C190</f>
        <v>Stimmt folgende Aussage? ''Eine Standortanalyse hinsichtlich der meteorologischen Naturgefahren (Hagel, Sturm, Wind, Regen und Schnee) wurde durchgeführt und es werden nötigenfalls am Gebäude entsprechende, verhältnismässige Gegenmassnahmen zur Reduktion des Risikos getroffen''</v>
      </c>
      <c r="E575" s="1724"/>
      <c r="F575" s="1724"/>
      <c r="G575" s="1724"/>
      <c r="H575" s="1724"/>
      <c r="I575" s="1724"/>
      <c r="J575" s="1724"/>
      <c r="K575" s="1724"/>
      <c r="L575" s="1724"/>
      <c r="M575" s="1724"/>
      <c r="N575" s="1724"/>
      <c r="O575" s="1724"/>
      <c r="P575" s="1724"/>
      <c r="Q575" s="4"/>
      <c r="R575" s="4"/>
      <c r="S575" s="92"/>
      <c r="T575" s="1"/>
      <c r="U575" s="1"/>
      <c r="V575" s="1198"/>
      <c r="W575" s="1199"/>
      <c r="X575" s="1199"/>
      <c r="Y575" s="1201"/>
    </row>
    <row r="576" spans="2:25" s="1192" customFormat="1" ht="15" hidden="1" customHeight="1">
      <c r="B576" s="1190"/>
      <c r="C576" s="1191"/>
      <c r="D576" s="1724"/>
      <c r="E576" s="1724"/>
      <c r="F576" s="1724"/>
      <c r="G576" s="1724"/>
      <c r="H576" s="1724"/>
      <c r="I576" s="1724"/>
      <c r="J576" s="1724"/>
      <c r="K576" s="1724"/>
      <c r="L576" s="1724"/>
      <c r="M576" s="1724"/>
      <c r="N576" s="1724"/>
      <c r="O576" s="1724"/>
      <c r="P576" s="1724"/>
      <c r="Q576" s="1"/>
      <c r="R576" s="1"/>
      <c r="S576" s="9"/>
      <c r="T576" s="1"/>
      <c r="U576" s="1"/>
      <c r="V576" s="1198"/>
      <c r="W576" s="1198"/>
      <c r="X576" s="1198"/>
      <c r="Y576" s="1201"/>
    </row>
    <row r="577" spans="2:25" ht="15" hidden="1" customHeight="1">
      <c r="B577" s="789"/>
      <c r="C577" s="3"/>
      <c r="D577" s="13"/>
      <c r="E577" s="13"/>
      <c r="F577" s="13"/>
      <c r="G577" s="13"/>
      <c r="H577" s="13"/>
      <c r="I577" s="13"/>
      <c r="J577" s="13"/>
      <c r="K577" s="13"/>
      <c r="L577" s="13"/>
      <c r="M577" s="13"/>
      <c r="N577" s="13"/>
      <c r="O577" s="13"/>
      <c r="P577" s="13"/>
      <c r="Q577" s="1"/>
      <c r="R577" s="1"/>
      <c r="S577" s="48"/>
      <c r="V577" s="21"/>
      <c r="W577" s="21"/>
      <c r="X577" s="21"/>
      <c r="Y577" s="165"/>
    </row>
    <row r="578" spans="2:25" s="1192" customFormat="1" ht="15" hidden="1" customHeight="1">
      <c r="B578" s="1190"/>
      <c r="C578" s="1203"/>
      <c r="D578" s="1724" t="str">
        <f>Text!C191</f>
        <v>Stimmt folgende Aussage? ''Eine Gebäudeanalyse hinsichtlich der Erdbebengefährdung wurde durchgeführt und es werden entsprechende Gegenmassnahmen zur Reduktion des Risikos getroffen''</v>
      </c>
      <c r="E578" s="1724"/>
      <c r="F578" s="1724"/>
      <c r="G578" s="1724"/>
      <c r="H578" s="1724"/>
      <c r="I578" s="1724"/>
      <c r="J578" s="1724"/>
      <c r="K578" s="1724"/>
      <c r="L578" s="1724"/>
      <c r="M578" s="1724"/>
      <c r="N578" s="1724"/>
      <c r="O578" s="1724"/>
      <c r="P578" s="1724"/>
      <c r="Q578" s="4"/>
      <c r="R578" s="4"/>
      <c r="S578" s="92"/>
      <c r="T578" s="1"/>
      <c r="U578" s="1"/>
      <c r="V578" s="1198"/>
      <c r="W578" s="1199"/>
      <c r="X578" s="1199"/>
      <c r="Y578" s="1201" t="str">
        <f>Text!C16</f>
        <v>Info [7]</v>
      </c>
    </row>
    <row r="579" spans="2:25" s="1192" customFormat="1" ht="15" hidden="1" customHeight="1">
      <c r="B579" s="1190"/>
      <c r="C579" s="1191"/>
      <c r="D579" s="1724"/>
      <c r="E579" s="1724"/>
      <c r="F579" s="1724"/>
      <c r="G579" s="1724"/>
      <c r="H579" s="1724"/>
      <c r="I579" s="1724"/>
      <c r="J579" s="1724"/>
      <c r="K579" s="1724"/>
      <c r="L579" s="1724"/>
      <c r="M579" s="1724"/>
      <c r="N579" s="1724"/>
      <c r="O579" s="1724"/>
      <c r="P579" s="1724"/>
      <c r="Q579" s="1"/>
      <c r="R579" s="1"/>
      <c r="S579" s="9"/>
      <c r="T579" s="1"/>
      <c r="U579" s="1"/>
      <c r="V579" s="1198"/>
      <c r="W579" s="1198"/>
      <c r="X579" s="1198"/>
      <c r="Y579" s="1201"/>
    </row>
    <row r="580" spans="2:25" ht="15" customHeight="1">
      <c r="B580" s="794"/>
      <c r="C580" s="22"/>
      <c r="D580" s="13"/>
      <c r="E580" s="13"/>
      <c r="F580" s="13"/>
      <c r="G580" s="13"/>
      <c r="H580" s="13"/>
      <c r="I580" s="13"/>
      <c r="J580" s="13"/>
      <c r="K580" s="13"/>
      <c r="L580" s="13"/>
      <c r="M580" s="13"/>
      <c r="N580" s="13"/>
      <c r="O580" s="13"/>
      <c r="P580" s="13"/>
      <c r="Q580" s="1"/>
      <c r="R580" s="1"/>
      <c r="S580" s="48"/>
      <c r="V580" s="21"/>
      <c r="W580" s="21"/>
      <c r="X580" s="21"/>
      <c r="Y580" s="165"/>
    </row>
    <row r="581" spans="2:25" s="1192" customFormat="1" ht="15" customHeight="1">
      <c r="B581" s="1190"/>
      <c r="C581" s="1203"/>
      <c r="D581" s="1724" t="str">
        <f>Text!C192</f>
        <v>Werden im Rahmen der Standortanalyse auch Gefahren durch Naturereignisse analysiert, deren Auftreten in zukünftigen Klimaszenarien wahrscheinlicher werden? (z. B. Waldbrand, Tornado, Extremwetterereignisse, Hitzewelle)</v>
      </c>
      <c r="E581" s="1724"/>
      <c r="F581" s="1724"/>
      <c r="G581" s="1724"/>
      <c r="H581" s="1724"/>
      <c r="I581" s="1724"/>
      <c r="J581" s="1724"/>
      <c r="K581" s="1724"/>
      <c r="L581" s="1724"/>
      <c r="M581" s="1724"/>
      <c r="N581" s="1724"/>
      <c r="O581" s="1724"/>
      <c r="P581" s="1724"/>
      <c r="Q581" s="4"/>
      <c r="R581" s="4"/>
      <c r="S581" s="92"/>
      <c r="T581" s="1"/>
      <c r="U581" s="1"/>
      <c r="V581" s="1198" t="str">
        <f>Text!B192</f>
        <v>K221</v>
      </c>
      <c r="W581" s="1199"/>
      <c r="X581" s="1199"/>
      <c r="Y581" s="1201"/>
    </row>
    <row r="582" spans="2:25" s="1192" customFormat="1" ht="15" customHeight="1">
      <c r="B582" s="1190"/>
      <c r="C582" s="1191"/>
      <c r="D582" s="1724"/>
      <c r="E582" s="1724"/>
      <c r="F582" s="1724"/>
      <c r="G582" s="1724"/>
      <c r="H582" s="1724"/>
      <c r="I582" s="1724"/>
      <c r="J582" s="1724"/>
      <c r="K582" s="1724"/>
      <c r="L582" s="1724"/>
      <c r="M582" s="1724"/>
      <c r="N582" s="1724"/>
      <c r="O582" s="1724"/>
      <c r="P582" s="1724"/>
      <c r="Q582" s="1"/>
      <c r="R582" s="1"/>
      <c r="S582" s="9"/>
      <c r="T582" s="1"/>
      <c r="U582" s="1"/>
      <c r="V582" s="1198"/>
      <c r="W582" s="1198"/>
      <c r="X582" s="1198"/>
      <c r="Y582" s="1201"/>
    </row>
    <row r="583" spans="2:25" ht="15" hidden="1" customHeight="1">
      <c r="B583" s="789"/>
      <c r="C583" s="3"/>
      <c r="D583" s="13"/>
      <c r="E583" s="13"/>
      <c r="F583" s="13"/>
      <c r="G583" s="13"/>
      <c r="H583" s="13"/>
      <c r="I583" s="13"/>
      <c r="J583" s="13"/>
      <c r="K583" s="13"/>
      <c r="L583" s="13"/>
      <c r="M583" s="13"/>
      <c r="N583" s="13"/>
      <c r="O583" s="13"/>
      <c r="P583" s="13"/>
      <c r="Q583" s="1"/>
      <c r="R583" s="1"/>
      <c r="S583" s="48"/>
      <c r="V583" s="21"/>
      <c r="W583" s="21"/>
      <c r="X583" s="21"/>
      <c r="Y583" s="165"/>
    </row>
    <row r="584" spans="2:25" s="1192" customFormat="1" ht="15" hidden="1" customHeight="1">
      <c r="B584" s="1190"/>
      <c r="C584" s="1203"/>
      <c r="D584" s="1724" t="str">
        <f>Text!C193</f>
        <v>Stimmt folgende Aussage? ''Die Bauparzelle ist nicht vom städtischen Wärmeinseleffekt betroffen oder das Bauvorhaben trägt zur Abkühlung des Quartiers bei''</v>
      </c>
      <c r="E584" s="1724"/>
      <c r="F584" s="1724"/>
      <c r="G584" s="1724"/>
      <c r="H584" s="1724"/>
      <c r="I584" s="1724"/>
      <c r="J584" s="1724"/>
      <c r="K584" s="1724"/>
      <c r="L584" s="1724"/>
      <c r="M584" s="1724"/>
      <c r="N584" s="1724"/>
      <c r="O584" s="1724"/>
      <c r="P584" s="1724"/>
      <c r="Q584" s="4"/>
      <c r="R584" s="4"/>
      <c r="S584" s="92"/>
      <c r="T584" s="1"/>
      <c r="U584" s="1"/>
      <c r="V584" s="1198"/>
      <c r="W584" s="1199"/>
      <c r="X584" s="1199"/>
      <c r="Y584" s="1201"/>
    </row>
    <row r="585" spans="2:25" s="1192" customFormat="1" ht="15" hidden="1" customHeight="1">
      <c r="B585" s="1190"/>
      <c r="C585" s="1191"/>
      <c r="D585" s="1724"/>
      <c r="E585" s="1724"/>
      <c r="F585" s="1724"/>
      <c r="G585" s="1724"/>
      <c r="H585" s="1724"/>
      <c r="I585" s="1724"/>
      <c r="J585" s="1724"/>
      <c r="K585" s="1724"/>
      <c r="L585" s="1724"/>
      <c r="M585" s="1724"/>
      <c r="N585" s="1724"/>
      <c r="O585" s="1724"/>
      <c r="P585" s="1724"/>
      <c r="Q585" s="1"/>
      <c r="R585" s="1"/>
      <c r="S585" s="9"/>
      <c r="T585" s="1"/>
      <c r="U585" s="1"/>
      <c r="V585" s="1198"/>
      <c r="W585" s="1198"/>
      <c r="X585" s="1198"/>
      <c r="Y585" s="1201"/>
    </row>
    <row r="586" spans="2:25" ht="15" hidden="1" customHeight="1">
      <c r="B586" s="789"/>
      <c r="D586" s="13"/>
      <c r="E586" s="13"/>
      <c r="F586" s="13"/>
      <c r="G586" s="13"/>
      <c r="H586" s="13"/>
      <c r="I586" s="13"/>
      <c r="J586" s="13"/>
      <c r="K586" s="13"/>
      <c r="L586" s="13"/>
      <c r="M586" s="13"/>
      <c r="N586" s="13"/>
      <c r="O586" s="13"/>
      <c r="P586" s="125"/>
      <c r="S586" s="48"/>
      <c r="V586" s="21"/>
      <c r="W586" s="21"/>
      <c r="X586" s="21"/>
      <c r="Y586" s="165"/>
    </row>
    <row r="587" spans="2:25" s="1192" customFormat="1" ht="15" hidden="1" customHeight="1">
      <c r="B587" s="1190"/>
      <c r="C587" s="1203"/>
      <c r="D587" s="1724" t="str">
        <f>Text!C194</f>
        <v>Stimmt folgende Aussage? ''Am Standort bestehen gemäss themenspezifischer Standortanalyse (Topografie, klimatische Bedingungen, meteorologische Muster) keine Hinweise auf Gefährdung durch Waldbrand oder es werden entsprechende Gegenmassnahmen getroffen''</v>
      </c>
      <c r="E587" s="1724"/>
      <c r="F587" s="1724"/>
      <c r="G587" s="1724"/>
      <c r="H587" s="1724"/>
      <c r="I587" s="1724"/>
      <c r="J587" s="1724"/>
      <c r="K587" s="1724"/>
      <c r="L587" s="1724"/>
      <c r="M587" s="1724"/>
      <c r="N587" s="1724"/>
      <c r="O587" s="1724"/>
      <c r="P587" s="1724"/>
      <c r="Q587" s="4"/>
      <c r="R587" s="4"/>
      <c r="S587" s="92"/>
      <c r="T587" s="1"/>
      <c r="U587" s="1"/>
      <c r="V587" s="1198"/>
      <c r="W587" s="1199"/>
      <c r="X587" s="1199"/>
      <c r="Y587" s="1201"/>
    </row>
    <row r="588" spans="2:25" s="1192" customFormat="1" ht="15" hidden="1" customHeight="1">
      <c r="B588" s="1190"/>
      <c r="C588" s="1191"/>
      <c r="D588" s="1724"/>
      <c r="E588" s="1724"/>
      <c r="F588" s="1724"/>
      <c r="G588" s="1724"/>
      <c r="H588" s="1724"/>
      <c r="I588" s="1724"/>
      <c r="J588" s="1724"/>
      <c r="K588" s="1724"/>
      <c r="L588" s="1724"/>
      <c r="M588" s="1724"/>
      <c r="N588" s="1724"/>
      <c r="O588" s="1724"/>
      <c r="P588" s="1724"/>
      <c r="Q588" s="1"/>
      <c r="R588" s="1"/>
      <c r="S588" s="9"/>
      <c r="T588" s="1"/>
      <c r="U588" s="1"/>
      <c r="V588" s="1198"/>
      <c r="W588" s="1198"/>
      <c r="X588" s="1198"/>
      <c r="Y588" s="1201"/>
    </row>
    <row r="589" spans="2:25" ht="15" hidden="1" customHeight="1">
      <c r="B589" s="789"/>
      <c r="D589" s="13"/>
      <c r="E589" s="13"/>
      <c r="F589" s="13"/>
      <c r="G589" s="13"/>
      <c r="H589" s="13"/>
      <c r="I589" s="13"/>
      <c r="J589" s="13"/>
      <c r="K589" s="13"/>
      <c r="L589" s="13"/>
      <c r="M589" s="13"/>
      <c r="N589" s="13"/>
      <c r="O589" s="13"/>
      <c r="P589" s="125"/>
      <c r="S589" s="48"/>
      <c r="V589" s="21"/>
      <c r="W589" s="21"/>
      <c r="X589" s="21"/>
      <c r="Y589" s="165"/>
    </row>
    <row r="590" spans="2:25" s="1192" customFormat="1" ht="15" hidden="1" customHeight="1">
      <c r="B590" s="1190"/>
      <c r="C590" s="1203"/>
      <c r="D590" s="1724" t="str">
        <f>Text!C195</f>
        <v>Stimmt folgende Aussage: ''Am Standort bestehen gemäss themenspezifischer Standortanalyse (Topografie, Vegetation, klimatische Bedingungen) keine Hinweise auf Gefährdung durch Extremwetterereignisse wie Tornados oder es werden entsprechende Gegenmassnahmen getroffen''</v>
      </c>
      <c r="E590" s="1724"/>
      <c r="F590" s="1724"/>
      <c r="G590" s="1724"/>
      <c r="H590" s="1724"/>
      <c r="I590" s="1724"/>
      <c r="J590" s="1724"/>
      <c r="K590" s="1724"/>
      <c r="L590" s="1724"/>
      <c r="M590" s="1724"/>
      <c r="N590" s="1724"/>
      <c r="O590" s="1724"/>
      <c r="P590" s="1724"/>
      <c r="Q590" s="4"/>
      <c r="R590" s="4"/>
      <c r="S590" s="92"/>
      <c r="T590" s="1"/>
      <c r="U590" s="1"/>
      <c r="V590" s="1198"/>
      <c r="W590" s="1199"/>
      <c r="X590" s="1199"/>
      <c r="Y590" s="1201"/>
    </row>
    <row r="591" spans="2:25" s="1192" customFormat="1" ht="15" hidden="1" customHeight="1">
      <c r="B591" s="1190"/>
      <c r="C591" s="1191"/>
      <c r="D591" s="1724"/>
      <c r="E591" s="1724"/>
      <c r="F591" s="1724"/>
      <c r="G591" s="1724"/>
      <c r="H591" s="1724"/>
      <c r="I591" s="1724"/>
      <c r="J591" s="1724"/>
      <c r="K591" s="1724"/>
      <c r="L591" s="1724"/>
      <c r="M591" s="1724"/>
      <c r="N591" s="1724"/>
      <c r="O591" s="1724"/>
      <c r="P591" s="1724"/>
      <c r="Q591" s="1"/>
      <c r="R591" s="1"/>
      <c r="S591" s="9"/>
      <c r="T591" s="1"/>
      <c r="U591" s="1"/>
      <c r="V591" s="1198"/>
      <c r="W591" s="1198"/>
      <c r="X591" s="1198"/>
      <c r="Y591" s="1201"/>
    </row>
    <row r="592" spans="2:25" ht="15" customHeight="1">
      <c r="B592" s="789"/>
      <c r="D592" s="13"/>
      <c r="E592" s="13"/>
      <c r="F592" s="13"/>
      <c r="G592" s="13"/>
      <c r="H592" s="13"/>
      <c r="I592" s="13"/>
      <c r="J592" s="13"/>
      <c r="K592" s="13"/>
      <c r="L592" s="13"/>
      <c r="M592" s="13"/>
      <c r="N592" s="13"/>
      <c r="O592" s="13"/>
      <c r="P592" s="125"/>
      <c r="S592" s="92"/>
      <c r="W592" s="46"/>
      <c r="X592" s="46"/>
      <c r="Y592" s="223"/>
    </row>
    <row r="593" spans="2:25" s="1192" customFormat="1" ht="15" customHeight="1">
      <c r="B593" s="1190"/>
      <c r="C593" s="1203"/>
      <c r="D593" s="1724" t="str">
        <f>Text!C196</f>
        <v>Wurden explizite Massnahmen zur Stabilisierung oder Verringerung des Flächenverbrauchs pro Person getroffen?</v>
      </c>
      <c r="E593" s="1724"/>
      <c r="F593" s="1724"/>
      <c r="G593" s="1724"/>
      <c r="H593" s="1724"/>
      <c r="I593" s="1724"/>
      <c r="J593" s="1724"/>
      <c r="K593" s="1724"/>
      <c r="L593" s="1724"/>
      <c r="M593" s="1724"/>
      <c r="N593" s="1724"/>
      <c r="O593" s="1724"/>
      <c r="P593" s="1724"/>
      <c r="Q593" s="4"/>
      <c r="R593" s="4"/>
      <c r="S593" s="92"/>
      <c r="T593" s="1"/>
      <c r="U593" s="1"/>
      <c r="V593" s="1198">
        <f>Text!B196</f>
        <v>222</v>
      </c>
      <c r="W593" s="1199"/>
      <c r="X593" s="1199"/>
      <c r="Y593" s="1201" t="str">
        <f>Text!C10</f>
        <v/>
      </c>
    </row>
    <row r="594" spans="2:25" s="1192" customFormat="1" ht="15" customHeight="1">
      <c r="B594" s="1190"/>
      <c r="C594" s="1191"/>
      <c r="D594" s="1724"/>
      <c r="E594" s="1724"/>
      <c r="F594" s="1724"/>
      <c r="G594" s="1724"/>
      <c r="H594" s="1724"/>
      <c r="I594" s="1724"/>
      <c r="J594" s="1724"/>
      <c r="K594" s="1724"/>
      <c r="L594" s="1724"/>
      <c r="M594" s="1724"/>
      <c r="N594" s="1724"/>
      <c r="O594" s="1724"/>
      <c r="P594" s="1724"/>
      <c r="Q594" s="1"/>
      <c r="R594" s="1"/>
      <c r="S594" s="9"/>
      <c r="T594" s="1"/>
      <c r="U594" s="1"/>
      <c r="V594" s="1198"/>
      <c r="W594" s="1198"/>
      <c r="X594" s="1198"/>
      <c r="Y594" s="1201"/>
    </row>
    <row r="595" spans="2:25" ht="15" hidden="1" customHeight="1">
      <c r="B595" s="789"/>
      <c r="D595" s="13"/>
      <c r="E595" s="13"/>
      <c r="F595" s="13"/>
      <c r="G595" s="13"/>
      <c r="H595" s="13"/>
      <c r="I595" s="13"/>
      <c r="J595" s="13"/>
      <c r="K595" s="13"/>
      <c r="L595" s="13"/>
      <c r="M595" s="13"/>
      <c r="N595" s="13"/>
      <c r="O595" s="13"/>
      <c r="P595" s="125"/>
      <c r="S595" s="92"/>
      <c r="W595" s="46"/>
      <c r="X595" s="46"/>
      <c r="Y595" s="223"/>
    </row>
    <row r="596" spans="2:25" s="1192" customFormat="1" ht="15" hidden="1" customHeight="1">
      <c r="B596" s="1190"/>
      <c r="C596" s="1203"/>
      <c r="D596" s="1724" t="str">
        <f>Text!C197</f>
        <v>Werden explizite Massnahmen getroffen, um die Nutzungsintensität zu erhöhen, z. B. durch multifunktional nutzbare Räume?</v>
      </c>
      <c r="E596" s="1724"/>
      <c r="F596" s="1724"/>
      <c r="G596" s="1724"/>
      <c r="H596" s="1724"/>
      <c r="I596" s="1724"/>
      <c r="J596" s="1724"/>
      <c r="K596" s="1724"/>
      <c r="L596" s="1724"/>
      <c r="M596" s="1724"/>
      <c r="N596" s="1724"/>
      <c r="O596" s="1724"/>
      <c r="P596" s="1724"/>
      <c r="Q596" s="4"/>
      <c r="R596" s="4"/>
      <c r="S596" s="92"/>
      <c r="T596" s="1"/>
      <c r="U596" s="1"/>
      <c r="V596" s="1198"/>
      <c r="W596" s="1199"/>
      <c r="X596" s="1199"/>
      <c r="Y596" s="1201"/>
    </row>
    <row r="597" spans="2:25" s="1192" customFormat="1" ht="15" hidden="1" customHeight="1">
      <c r="B597" s="1190"/>
      <c r="C597" s="1191"/>
      <c r="D597" s="1724"/>
      <c r="E597" s="1724"/>
      <c r="F597" s="1724"/>
      <c r="G597" s="1724"/>
      <c r="H597" s="1724"/>
      <c r="I597" s="1724"/>
      <c r="J597" s="1724"/>
      <c r="K597" s="1724"/>
      <c r="L597" s="1724"/>
      <c r="M597" s="1724"/>
      <c r="N597" s="1724"/>
      <c r="O597" s="1724"/>
      <c r="P597" s="1724"/>
      <c r="Q597" s="1"/>
      <c r="R597" s="1"/>
      <c r="S597" s="9"/>
      <c r="T597" s="1"/>
      <c r="U597" s="1"/>
      <c r="V597" s="1198"/>
      <c r="W597" s="1198"/>
      <c r="X597" s="1198"/>
      <c r="Y597" s="1201"/>
    </row>
    <row r="598" spans="2:25" ht="15" hidden="1" customHeight="1">
      <c r="B598" s="789"/>
      <c r="D598" s="13"/>
      <c r="E598" s="13"/>
      <c r="F598" s="13"/>
      <c r="G598" s="13"/>
      <c r="H598" s="13"/>
      <c r="I598" s="13"/>
      <c r="J598" s="13"/>
      <c r="K598" s="13"/>
      <c r="L598" s="13"/>
      <c r="M598" s="13"/>
      <c r="N598" s="13"/>
      <c r="O598" s="13"/>
      <c r="P598" s="125"/>
      <c r="S598" s="92"/>
      <c r="W598" s="46"/>
      <c r="X598" s="46"/>
      <c r="Y598" s="223"/>
    </row>
    <row r="599" spans="2:25" s="1192" customFormat="1" ht="15" hidden="1" customHeight="1">
      <c r="B599" s="1190"/>
      <c r="C599" s="1203"/>
      <c r="D599" s="1724" t="str">
        <f>Text!C198</f>
        <v>Wurden Zielvorgaben definiert, um Nutzungsnebenflächen (Lagerräume, Erschliessungsfläche usw.) im beheizten Raum zu verringern?</v>
      </c>
      <c r="E599" s="1724"/>
      <c r="F599" s="1724"/>
      <c r="G599" s="1724"/>
      <c r="H599" s="1724"/>
      <c r="I599" s="1724"/>
      <c r="J599" s="1724"/>
      <c r="K599" s="1724"/>
      <c r="L599" s="1724"/>
      <c r="M599" s="1724"/>
      <c r="N599" s="1724"/>
      <c r="O599" s="1724"/>
      <c r="P599" s="1724"/>
      <c r="Q599" s="4"/>
      <c r="R599" s="4"/>
      <c r="S599" s="92"/>
      <c r="T599" s="1"/>
      <c r="U599" s="1"/>
      <c r="V599" s="1198"/>
      <c r="W599" s="1199"/>
      <c r="X599" s="1199"/>
      <c r="Y599" s="1201"/>
    </row>
    <row r="600" spans="2:25" s="1192" customFormat="1" ht="15" hidden="1" customHeight="1">
      <c r="B600" s="1190"/>
      <c r="C600" s="1191"/>
      <c r="D600" s="1724"/>
      <c r="E600" s="1724"/>
      <c r="F600" s="1724"/>
      <c r="G600" s="1724"/>
      <c r="H600" s="1724"/>
      <c r="I600" s="1724"/>
      <c r="J600" s="1724"/>
      <c r="K600" s="1724"/>
      <c r="L600" s="1724"/>
      <c r="M600" s="1724"/>
      <c r="N600" s="1724"/>
      <c r="O600" s="1724"/>
      <c r="P600" s="1724"/>
      <c r="Q600" s="1"/>
      <c r="R600" s="1"/>
      <c r="S600" s="9"/>
      <c r="T600" s="1"/>
      <c r="U600" s="1"/>
      <c r="V600" s="1198"/>
      <c r="W600" s="1198"/>
      <c r="X600" s="1198"/>
      <c r="Y600" s="1201"/>
    </row>
    <row r="601" spans="2:25" ht="15" hidden="1" customHeight="1">
      <c r="B601" s="794"/>
      <c r="C601" s="1"/>
      <c r="D601" s="125"/>
      <c r="E601" s="125"/>
      <c r="F601" s="125"/>
      <c r="G601" s="125"/>
      <c r="H601" s="125"/>
      <c r="I601" s="125"/>
      <c r="J601" s="125"/>
      <c r="K601" s="125"/>
      <c r="L601" s="125"/>
      <c r="M601" s="125"/>
      <c r="N601" s="125"/>
      <c r="O601" s="125"/>
      <c r="P601" s="125"/>
      <c r="Q601" s="1"/>
      <c r="R601" s="1"/>
      <c r="S601" s="48"/>
      <c r="V601" s="1"/>
      <c r="Y601" s="1"/>
    </row>
    <row r="602" spans="2:25" s="1192" customFormat="1" ht="15" hidden="1" customHeight="1">
      <c r="B602" s="1190"/>
      <c r="C602" s="1203"/>
      <c r="D602" s="1724" t="str">
        <f>Text!C199</f>
        <v>Wird die Flächeneffizienz des Projekts im Laufe der Planung bewusst überprüft?</v>
      </c>
      <c r="E602" s="1724"/>
      <c r="F602" s="1724"/>
      <c r="G602" s="1724"/>
      <c r="H602" s="1724"/>
      <c r="I602" s="1724"/>
      <c r="J602" s="1724"/>
      <c r="K602" s="1724"/>
      <c r="L602" s="1724"/>
      <c r="M602" s="1724"/>
      <c r="N602" s="1724"/>
      <c r="O602" s="1724"/>
      <c r="P602" s="1724"/>
      <c r="Q602" s="4"/>
      <c r="R602" s="4"/>
      <c r="S602" s="92"/>
      <c r="T602" s="1"/>
      <c r="U602" s="1"/>
      <c r="V602" s="1198"/>
      <c r="W602" s="1199"/>
      <c r="X602" s="1199"/>
      <c r="Y602" s="1201"/>
    </row>
    <row r="603" spans="2:25" s="1192" customFormat="1" ht="15" hidden="1" customHeight="1">
      <c r="B603" s="1190"/>
      <c r="C603" s="1191"/>
      <c r="D603" s="1724"/>
      <c r="E603" s="1724"/>
      <c r="F603" s="1724"/>
      <c r="G603" s="1724"/>
      <c r="H603" s="1724"/>
      <c r="I603" s="1724"/>
      <c r="J603" s="1724"/>
      <c r="K603" s="1724"/>
      <c r="L603" s="1724"/>
      <c r="M603" s="1724"/>
      <c r="N603" s="1724"/>
      <c r="O603" s="1724"/>
      <c r="P603" s="1724"/>
      <c r="Q603" s="1"/>
      <c r="R603" s="1"/>
      <c r="S603" s="9"/>
      <c r="T603" s="1"/>
      <c r="U603" s="1"/>
      <c r="V603" s="1198"/>
      <c r="W603" s="1198"/>
      <c r="X603" s="1198"/>
      <c r="Y603" s="1201"/>
    </row>
    <row r="604" spans="2:25">
      <c r="B604" s="789"/>
      <c r="D604" s="124"/>
      <c r="E604" s="124"/>
      <c r="F604" s="124"/>
      <c r="G604" s="124"/>
      <c r="H604" s="124"/>
      <c r="I604" s="124"/>
      <c r="J604" s="124"/>
      <c r="K604" s="124"/>
      <c r="L604" s="124"/>
      <c r="M604" s="124"/>
      <c r="N604" s="124"/>
      <c r="O604" s="124"/>
      <c r="P604" s="124"/>
      <c r="Q604" s="123"/>
      <c r="R604" s="1"/>
      <c r="S604" s="48"/>
      <c r="V604" s="21"/>
      <c r="W604" s="21"/>
      <c r="X604" s="21"/>
      <c r="Y604" s="165"/>
    </row>
    <row r="605" spans="2:25" s="1192" customFormat="1" ht="15" customHeight="1">
      <c r="B605" s="1190"/>
      <c r="C605" s="1203"/>
      <c r="D605" s="1724" t="str">
        <f>Text!C200</f>
        <v>Besteht ein baulich und technisch umsetzbares Konzept, welches hohe Flexibilität sowie Variabilität in der Nutzung und im Ausbau des Gebäudes erlaubt?</v>
      </c>
      <c r="E605" s="1724"/>
      <c r="F605" s="1724"/>
      <c r="G605" s="1724"/>
      <c r="H605" s="1724"/>
      <c r="I605" s="1724"/>
      <c r="J605" s="1724"/>
      <c r="K605" s="1724"/>
      <c r="L605" s="1724"/>
      <c r="M605" s="1724"/>
      <c r="N605" s="1724"/>
      <c r="O605" s="1724"/>
      <c r="P605" s="1724"/>
      <c r="Q605" s="4"/>
      <c r="R605" s="4"/>
      <c r="S605" s="92"/>
      <c r="T605" s="1"/>
      <c r="U605" s="1"/>
      <c r="V605" s="1198">
        <f>Text!B200</f>
        <v>223</v>
      </c>
      <c r="W605" s="1199"/>
      <c r="X605" s="1199"/>
      <c r="Y605" s="1201" t="str">
        <f>Text!C10</f>
        <v/>
      </c>
    </row>
    <row r="606" spans="2:25" s="1192" customFormat="1" ht="15" customHeight="1">
      <c r="B606" s="1190"/>
      <c r="C606" s="1191"/>
      <c r="D606" s="1724"/>
      <c r="E606" s="1724"/>
      <c r="F606" s="1724"/>
      <c r="G606" s="1724"/>
      <c r="H606" s="1724"/>
      <c r="I606" s="1724"/>
      <c r="J606" s="1724"/>
      <c r="K606" s="1724"/>
      <c r="L606" s="1724"/>
      <c r="M606" s="1724"/>
      <c r="N606" s="1724"/>
      <c r="O606" s="1724"/>
      <c r="P606" s="1724"/>
      <c r="Q606" s="1"/>
      <c r="R606" s="1"/>
      <c r="S606" s="9"/>
      <c r="T606" s="1"/>
      <c r="U606" s="1"/>
      <c r="V606" s="1198"/>
      <c r="W606" s="1198"/>
      <c r="X606" s="1198"/>
      <c r="Y606" s="1201"/>
    </row>
    <row r="607" spans="2:25" hidden="1">
      <c r="B607" s="789"/>
      <c r="D607" s="124"/>
      <c r="E607" s="124"/>
      <c r="F607" s="124"/>
      <c r="G607" s="124"/>
      <c r="H607" s="124"/>
      <c r="I607" s="124"/>
      <c r="J607" s="124"/>
      <c r="K607" s="124"/>
      <c r="L607" s="124"/>
      <c r="M607" s="124"/>
      <c r="N607" s="124"/>
      <c r="O607" s="124"/>
      <c r="P607" s="124"/>
      <c r="Q607" s="123"/>
      <c r="R607" s="1"/>
      <c r="S607" s="48"/>
      <c r="V607" s="21"/>
      <c r="W607" s="21"/>
      <c r="X607" s="21"/>
      <c r="Y607" s="165"/>
    </row>
    <row r="608" spans="2:25" s="1192" customFormat="1" ht="15" hidden="1" customHeight="1">
      <c r="B608" s="1190"/>
      <c r="C608" s="1203"/>
      <c r="D608" s="1724" t="str">
        <f>Text!C201</f>
        <v>Besteht eine hohe Vielfalt im Nutzungsangebot?</v>
      </c>
      <c r="E608" s="1724"/>
      <c r="F608" s="1724"/>
      <c r="G608" s="1724"/>
      <c r="H608" s="1724"/>
      <c r="I608" s="1724"/>
      <c r="J608" s="1724"/>
      <c r="K608" s="1724"/>
      <c r="L608" s="1724"/>
      <c r="M608" s="1724"/>
      <c r="N608" s="1724"/>
      <c r="O608" s="1724"/>
      <c r="P608" s="1724"/>
      <c r="Q608" s="4"/>
      <c r="R608" s="4"/>
      <c r="S608" s="92"/>
      <c r="T608" s="1"/>
      <c r="U608" s="1"/>
      <c r="V608" s="1198"/>
      <c r="W608" s="1199"/>
      <c r="X608" s="1199"/>
      <c r="Y608" s="1201"/>
    </row>
    <row r="609" spans="2:25" s="1192" customFormat="1" ht="15" hidden="1" customHeight="1">
      <c r="B609" s="1190"/>
      <c r="C609" s="1191"/>
      <c r="D609" s="1724"/>
      <c r="E609" s="1724"/>
      <c r="F609" s="1724"/>
      <c r="G609" s="1724"/>
      <c r="H609" s="1724"/>
      <c r="I609" s="1724"/>
      <c r="J609" s="1724"/>
      <c r="K609" s="1724"/>
      <c r="L609" s="1724"/>
      <c r="M609" s="1724"/>
      <c r="N609" s="1724"/>
      <c r="O609" s="1724"/>
      <c r="P609" s="1724"/>
      <c r="Q609" s="1"/>
      <c r="R609" s="1"/>
      <c r="S609" s="9"/>
      <c r="T609" s="1"/>
      <c r="U609" s="1"/>
      <c r="V609" s="1198"/>
      <c r="W609" s="1198"/>
      <c r="X609" s="1198"/>
      <c r="Y609" s="1201"/>
    </row>
    <row r="610" spans="2:25" hidden="1">
      <c r="B610" s="789"/>
      <c r="D610" s="124"/>
      <c r="E610" s="124"/>
      <c r="F610" s="124"/>
      <c r="G610" s="124"/>
      <c r="H610" s="124"/>
      <c r="I610" s="124"/>
      <c r="J610" s="124"/>
      <c r="K610" s="124"/>
      <c r="L610" s="124"/>
      <c r="M610" s="124"/>
      <c r="N610" s="124"/>
      <c r="O610" s="124"/>
      <c r="P610" s="124"/>
      <c r="Q610" s="123"/>
      <c r="R610" s="1"/>
      <c r="S610" s="48"/>
      <c r="V610" s="21"/>
      <c r="W610" s="21"/>
      <c r="X610" s="21"/>
      <c r="Y610" s="165"/>
    </row>
    <row r="611" spans="2:25" s="1192" customFormat="1" ht="15" hidden="1" customHeight="1">
      <c r="B611" s="1190"/>
      <c r="C611" s="1203"/>
      <c r="D611" s="1724" t="str">
        <f>Text!C202</f>
        <v>Ist eine Änderung der Nutzung ohne einschneidenden Eingriff in das Tragsystem möglich? (z. B. Wohnen in Büros; Verwaltung in Wohnen, Gewerbe oder Schule; Bildungsbauten in andere Schultypen, Verwaltung oder Gewerbe)</v>
      </c>
      <c r="E611" s="1724"/>
      <c r="F611" s="1724"/>
      <c r="G611" s="1724"/>
      <c r="H611" s="1724"/>
      <c r="I611" s="1724"/>
      <c r="J611" s="1724"/>
      <c r="K611" s="1724"/>
      <c r="L611" s="1724"/>
      <c r="M611" s="1724"/>
      <c r="N611" s="1724"/>
      <c r="O611" s="1724"/>
      <c r="P611" s="1724"/>
      <c r="Q611" s="4"/>
      <c r="R611" s="4"/>
      <c r="S611" s="92"/>
      <c r="T611" s="1"/>
      <c r="U611" s="1"/>
      <c r="V611" s="1198"/>
      <c r="W611" s="1199"/>
      <c r="X611" s="1199"/>
      <c r="Y611" s="1201"/>
    </row>
    <row r="612" spans="2:25" s="1192" customFormat="1" ht="15" hidden="1" customHeight="1">
      <c r="B612" s="1190"/>
      <c r="C612" s="1191"/>
      <c r="D612" s="1724"/>
      <c r="E612" s="1724"/>
      <c r="F612" s="1724"/>
      <c r="G612" s="1724"/>
      <c r="H612" s="1724"/>
      <c r="I612" s="1724"/>
      <c r="J612" s="1724"/>
      <c r="K612" s="1724"/>
      <c r="L612" s="1724"/>
      <c r="M612" s="1724"/>
      <c r="N612" s="1724"/>
      <c r="O612" s="1724"/>
      <c r="P612" s="1724"/>
      <c r="Q612" s="1"/>
      <c r="R612" s="1"/>
      <c r="S612" s="9"/>
      <c r="T612" s="1"/>
      <c r="U612" s="1"/>
      <c r="V612" s="1198"/>
      <c r="W612" s="1198"/>
      <c r="X612" s="1198"/>
      <c r="Y612" s="1201"/>
    </row>
    <row r="613" spans="2:25" ht="15" hidden="1" customHeight="1">
      <c r="B613" s="789"/>
      <c r="D613" s="13"/>
      <c r="E613" s="13"/>
      <c r="F613" s="13"/>
      <c r="G613" s="13"/>
      <c r="H613" s="13"/>
      <c r="I613" s="13"/>
      <c r="J613" s="13"/>
      <c r="K613" s="13"/>
      <c r="L613" s="13"/>
      <c r="M613" s="13"/>
      <c r="N613" s="13"/>
      <c r="O613" s="13"/>
      <c r="P613" s="125"/>
      <c r="S613" s="92"/>
      <c r="W613" s="46"/>
      <c r="X613" s="46"/>
      <c r="Y613" s="223"/>
    </row>
    <row r="614" spans="2:25" s="1192" customFormat="1" ht="29.15" hidden="1" customHeight="1">
      <c r="B614" s="1190"/>
      <c r="C614" s="1203"/>
      <c r="D614" s="1724" t="str">
        <f>Text!C203</f>
        <v>Ist eine wesentliche Änderung der Raumaufteilung ohne einschneidenden Eingriff in das Tragsystem möglich? (z. B. durch nicht tragende Innenwände, Platzreserven für eine Ergänzung oder Nachrüstung der technischen Ausstattung, HLKS-Steigzonen für kleinere, voneinander unabhängig erschlossene Einheiten)</v>
      </c>
      <c r="E614" s="1724"/>
      <c r="F614" s="1724"/>
      <c r="G614" s="1724"/>
      <c r="H614" s="1724"/>
      <c r="I614" s="1724"/>
      <c r="J614" s="1724"/>
      <c r="K614" s="1724"/>
      <c r="L614" s="1724"/>
      <c r="M614" s="1724"/>
      <c r="N614" s="1724"/>
      <c r="O614" s="1724"/>
      <c r="P614" s="1724"/>
      <c r="Q614" s="4"/>
      <c r="R614" s="4"/>
      <c r="S614" s="92"/>
      <c r="T614" s="1"/>
      <c r="U614" s="1"/>
      <c r="V614" s="1198"/>
      <c r="W614" s="1198"/>
      <c r="X614" s="1198"/>
      <c r="Y614" s="1201"/>
    </row>
    <row r="615" spans="2:25" s="1192" customFormat="1" ht="15" hidden="1" customHeight="1">
      <c r="B615" s="1190"/>
      <c r="C615" s="1191"/>
      <c r="D615" s="1724"/>
      <c r="E615" s="1724"/>
      <c r="F615" s="1724"/>
      <c r="G615" s="1724"/>
      <c r="H615" s="1724"/>
      <c r="I615" s="1724"/>
      <c r="J615" s="1724"/>
      <c r="K615" s="1724"/>
      <c r="L615" s="1724"/>
      <c r="M615" s="1724"/>
      <c r="N615" s="1724"/>
      <c r="O615" s="1724"/>
      <c r="P615" s="1724"/>
      <c r="Q615" s="1"/>
      <c r="R615" s="1"/>
      <c r="S615" s="9"/>
      <c r="T615" s="1"/>
      <c r="U615" s="1"/>
      <c r="V615" s="1194"/>
      <c r="W615" s="1195"/>
      <c r="X615" s="1195"/>
      <c r="Y615" s="1196"/>
    </row>
    <row r="616" spans="2:25" ht="15" customHeight="1">
      <c r="B616" s="789"/>
      <c r="D616" s="13"/>
      <c r="E616" s="13"/>
      <c r="F616" s="13"/>
      <c r="G616" s="13"/>
      <c r="H616" s="13"/>
      <c r="I616" s="13"/>
      <c r="J616" s="13"/>
      <c r="K616" s="13"/>
      <c r="L616" s="13"/>
      <c r="M616" s="13"/>
      <c r="N616" s="13"/>
      <c r="O616" s="13"/>
      <c r="P616" s="125"/>
      <c r="S616" s="92"/>
      <c r="W616" s="46"/>
      <c r="X616" s="46"/>
      <c r="Y616" s="223"/>
    </row>
    <row r="617" spans="2:25" s="1192" customFormat="1" ht="15" customHeight="1">
      <c r="B617" s="1190"/>
      <c r="C617" s="1203"/>
      <c r="D617" s="1724" t="str">
        <f>Text!C204</f>
        <v>Ist das Bauvorhaben so konzipiert, dass es den zunehmend wechselnden Bedingungen im Klimawandel angemessen anpassen lässt? (saisonal flexible Nutzung von Räumlichkeiten, flexible technische Infrastruktur und konzeptioneller Schutz vor Witterungseinflüssen im Aussenraum)</v>
      </c>
      <c r="E617" s="1724"/>
      <c r="F617" s="1724"/>
      <c r="G617" s="1724"/>
      <c r="H617" s="1724"/>
      <c r="I617" s="1724"/>
      <c r="J617" s="1724"/>
      <c r="K617" s="1724"/>
      <c r="L617" s="1724"/>
      <c r="M617" s="1724"/>
      <c r="N617" s="1724"/>
      <c r="O617" s="1724"/>
      <c r="P617" s="1724"/>
      <c r="Q617" s="4"/>
      <c r="R617" s="4"/>
      <c r="S617" s="92"/>
      <c r="T617" s="1"/>
      <c r="U617" s="1"/>
      <c r="V617" s="1198" t="str">
        <f>Text!B204</f>
        <v>K223</v>
      </c>
      <c r="W617" s="1199"/>
      <c r="X617" s="1199"/>
      <c r="Y617" s="1201"/>
    </row>
    <row r="618" spans="2:25" s="1192" customFormat="1" ht="15" customHeight="1">
      <c r="B618" s="1190"/>
      <c r="C618" s="1191"/>
      <c r="D618" s="1724"/>
      <c r="E618" s="1724"/>
      <c r="F618" s="1724"/>
      <c r="G618" s="1724"/>
      <c r="H618" s="1724"/>
      <c r="I618" s="1724"/>
      <c r="J618" s="1724"/>
      <c r="K618" s="1724"/>
      <c r="L618" s="1724"/>
      <c r="M618" s="1724"/>
      <c r="N618" s="1724"/>
      <c r="O618" s="1724"/>
      <c r="P618" s="1724"/>
      <c r="Q618" s="1"/>
      <c r="R618" s="1"/>
      <c r="S618" s="9"/>
      <c r="T618" s="1"/>
      <c r="U618" s="1"/>
      <c r="V618" s="1198"/>
      <c r="W618" s="1198"/>
      <c r="X618" s="1198"/>
      <c r="Y618" s="1201"/>
    </row>
    <row r="619" spans="2:25" ht="15" hidden="1" customHeight="1">
      <c r="B619" s="789"/>
      <c r="D619" s="13"/>
      <c r="E619" s="13"/>
      <c r="F619" s="13"/>
      <c r="G619" s="13"/>
      <c r="H619" s="13"/>
      <c r="I619" s="13"/>
      <c r="J619" s="13"/>
      <c r="K619" s="13"/>
      <c r="L619" s="13"/>
      <c r="M619" s="13"/>
      <c r="N619" s="13"/>
      <c r="O619" s="13"/>
      <c r="P619" s="125"/>
      <c r="S619" s="92"/>
      <c r="W619" s="46"/>
      <c r="X619" s="46"/>
      <c r="Y619" s="223"/>
    </row>
    <row r="620" spans="2:25" s="1192" customFormat="1" ht="15" hidden="1" customHeight="1">
      <c r="B620" s="1190"/>
      <c r="C620" s="1203"/>
      <c r="D620" s="1724" t="str">
        <f>Text!C205</f>
        <v>Sind die Grundrisse so konzipiert, dass sie auch saisonale Nutzungsverschiebungen erlauben? (z. B. Aufenthalt in helle nordgerichtete Räume im Sommer sowie in warme südgerichtete Räume im Winter)</v>
      </c>
      <c r="E620" s="1724"/>
      <c r="F620" s="1724"/>
      <c r="G620" s="1724"/>
      <c r="H620" s="1724"/>
      <c r="I620" s="1724"/>
      <c r="J620" s="1724"/>
      <c r="K620" s="1724"/>
      <c r="L620" s="1724"/>
      <c r="M620" s="1724"/>
      <c r="N620" s="1724"/>
      <c r="O620" s="1724"/>
      <c r="P620" s="1724"/>
      <c r="Q620" s="4"/>
      <c r="R620" s="4"/>
      <c r="S620" s="92"/>
      <c r="T620" s="1"/>
      <c r="U620" s="1"/>
      <c r="V620" s="1198"/>
      <c r="W620" s="1199"/>
      <c r="X620" s="1199"/>
      <c r="Y620" s="1201"/>
    </row>
    <row r="621" spans="2:25" s="1192" customFormat="1" ht="15" hidden="1" customHeight="1">
      <c r="B621" s="1190"/>
      <c r="C621" s="1191"/>
      <c r="D621" s="1724"/>
      <c r="E621" s="1724"/>
      <c r="F621" s="1724"/>
      <c r="G621" s="1724"/>
      <c r="H621" s="1724"/>
      <c r="I621" s="1724"/>
      <c r="J621" s="1724"/>
      <c r="K621" s="1724"/>
      <c r="L621" s="1724"/>
      <c r="M621" s="1724"/>
      <c r="N621" s="1724"/>
      <c r="O621" s="1724"/>
      <c r="P621" s="1724"/>
      <c r="Q621" s="1"/>
      <c r="R621" s="1"/>
      <c r="S621" s="9"/>
      <c r="T621" s="1"/>
      <c r="U621" s="1"/>
      <c r="V621" s="1198"/>
      <c r="W621" s="1198"/>
      <c r="X621" s="1198"/>
      <c r="Y621" s="1201"/>
    </row>
    <row r="622" spans="2:25" ht="15" hidden="1" customHeight="1">
      <c r="B622" s="789"/>
      <c r="D622" s="13"/>
      <c r="E622" s="13"/>
      <c r="F622" s="13"/>
      <c r="G622" s="13"/>
      <c r="H622" s="13"/>
      <c r="I622" s="13"/>
      <c r="J622" s="13"/>
      <c r="K622" s="13"/>
      <c r="L622" s="13"/>
      <c r="M622" s="13"/>
      <c r="N622" s="13"/>
      <c r="O622" s="13"/>
      <c r="P622" s="125"/>
      <c r="S622" s="92"/>
      <c r="W622" s="46"/>
      <c r="X622" s="46"/>
      <c r="Y622" s="223"/>
    </row>
    <row r="623" spans="2:25" s="1192" customFormat="1" ht="15" hidden="1" customHeight="1">
      <c r="B623" s="1190"/>
      <c r="C623" s="1203"/>
      <c r="D623" s="1724" t="str">
        <f>Text!C206</f>
        <v>Ist die technische Infrastruktur des Gebäudes flexibel genug gestaltet, um sich an Nutzungsverschiebungen im Kontext des Klimawandels anzupassen?</v>
      </c>
      <c r="E623" s="1724"/>
      <c r="F623" s="1724"/>
      <c r="G623" s="1724"/>
      <c r="H623" s="1724"/>
      <c r="I623" s="1724"/>
      <c r="J623" s="1724"/>
      <c r="K623" s="1724"/>
      <c r="L623" s="1724"/>
      <c r="M623" s="1724"/>
      <c r="N623" s="1724"/>
      <c r="O623" s="1724"/>
      <c r="P623" s="1724"/>
      <c r="Q623" s="4"/>
      <c r="R623" s="4"/>
      <c r="S623" s="92"/>
      <c r="T623" s="1"/>
      <c r="U623" s="1"/>
      <c r="V623" s="1198"/>
      <c r="W623" s="1199"/>
      <c r="X623" s="1199"/>
      <c r="Y623" s="1201"/>
    </row>
    <row r="624" spans="2:25" s="1192" customFormat="1" ht="15" hidden="1" customHeight="1">
      <c r="B624" s="1190"/>
      <c r="C624" s="1191"/>
      <c r="D624" s="1724"/>
      <c r="E624" s="1724"/>
      <c r="F624" s="1724"/>
      <c r="G624" s="1724"/>
      <c r="H624" s="1724"/>
      <c r="I624" s="1724"/>
      <c r="J624" s="1724"/>
      <c r="K624" s="1724"/>
      <c r="L624" s="1724"/>
      <c r="M624" s="1724"/>
      <c r="N624" s="1724"/>
      <c r="O624" s="1724"/>
      <c r="P624" s="1724"/>
      <c r="Q624" s="1"/>
      <c r="R624" s="1"/>
      <c r="S624" s="9"/>
      <c r="T624" s="1"/>
      <c r="U624" s="1"/>
      <c r="V624" s="1198"/>
      <c r="W624" s="1198"/>
      <c r="X624" s="1198"/>
      <c r="Y624" s="1201"/>
    </row>
    <row r="625" spans="2:25" ht="15" hidden="1" customHeight="1">
      <c r="B625" s="789"/>
      <c r="D625" s="13"/>
      <c r="E625" s="13"/>
      <c r="F625" s="13"/>
      <c r="G625" s="13"/>
      <c r="H625" s="13"/>
      <c r="I625" s="13"/>
      <c r="J625" s="13"/>
      <c r="K625" s="13"/>
      <c r="L625" s="13"/>
      <c r="M625" s="13"/>
      <c r="N625" s="13"/>
      <c r="O625" s="13"/>
      <c r="P625" s="125"/>
      <c r="S625" s="92"/>
      <c r="W625" s="46"/>
      <c r="X625" s="46"/>
      <c r="Y625" s="223"/>
    </row>
    <row r="626" spans="2:25" s="1192" customFormat="1" ht="15" hidden="1" customHeight="1">
      <c r="B626" s="1190"/>
      <c r="C626" s="1203"/>
      <c r="D626" s="1724" t="str">
        <f>Text!C207</f>
        <v>Weist das Bauvorhaben genügend private Aussenräume auf, die eine Aufenthaltsmöglichkeit im Freien sowohl bei Unwettern (Schutz vor starken Regenfällen) als auch in Hitzeperioden (effizienter Sonnenschutz) erlaubt?</v>
      </c>
      <c r="E626" s="1724"/>
      <c r="F626" s="1724"/>
      <c r="G626" s="1724"/>
      <c r="H626" s="1724"/>
      <c r="I626" s="1724"/>
      <c r="J626" s="1724"/>
      <c r="K626" s="1724"/>
      <c r="L626" s="1724"/>
      <c r="M626" s="1724"/>
      <c r="N626" s="1724"/>
      <c r="O626" s="1724"/>
      <c r="P626" s="1724"/>
      <c r="Q626" s="4"/>
      <c r="R626" s="4"/>
      <c r="S626" s="92"/>
      <c r="T626" s="1"/>
      <c r="U626" s="1"/>
      <c r="V626" s="1198"/>
      <c r="W626" s="1199"/>
      <c r="X626" s="1199"/>
      <c r="Y626" s="1201"/>
    </row>
    <row r="627" spans="2:25" s="1192" customFormat="1" ht="15" hidden="1" customHeight="1">
      <c r="B627" s="1190"/>
      <c r="C627" s="1191"/>
      <c r="D627" s="1724"/>
      <c r="E627" s="1724"/>
      <c r="F627" s="1724"/>
      <c r="G627" s="1724"/>
      <c r="H627" s="1724"/>
      <c r="I627" s="1724"/>
      <c r="J627" s="1724"/>
      <c r="K627" s="1724"/>
      <c r="L627" s="1724"/>
      <c r="M627" s="1724"/>
      <c r="N627" s="1724"/>
      <c r="O627" s="1724"/>
      <c r="P627" s="1724"/>
      <c r="Q627" s="1"/>
      <c r="R627" s="1"/>
      <c r="S627" s="9"/>
      <c r="T627" s="1"/>
      <c r="U627" s="1"/>
      <c r="V627" s="1198"/>
      <c r="W627" s="1198"/>
      <c r="X627" s="1198"/>
      <c r="Y627" s="1201"/>
    </row>
    <row r="628" spans="2:25" ht="15" customHeight="1">
      <c r="B628" s="789"/>
      <c r="D628" s="13"/>
      <c r="E628" s="13"/>
      <c r="F628" s="13"/>
      <c r="G628" s="13"/>
      <c r="H628" s="13"/>
      <c r="I628" s="13"/>
      <c r="J628" s="13"/>
      <c r="K628" s="13"/>
      <c r="L628" s="13"/>
      <c r="M628" s="13"/>
      <c r="N628" s="13"/>
      <c r="O628" s="13"/>
      <c r="P628" s="125"/>
      <c r="S628" s="92"/>
      <c r="V628" s="1"/>
      <c r="Y628" s="1"/>
    </row>
    <row r="629" spans="2:25">
      <c r="B629" s="789"/>
      <c r="D629" s="13"/>
      <c r="E629" s="13"/>
      <c r="F629" s="13"/>
      <c r="G629" s="13"/>
      <c r="H629" s="13"/>
      <c r="I629" s="13"/>
      <c r="J629" s="13"/>
      <c r="K629" s="13"/>
      <c r="L629" s="13"/>
      <c r="M629" s="13"/>
      <c r="N629" s="13"/>
      <c r="O629" s="13"/>
      <c r="P629" s="125"/>
      <c r="S629" s="92"/>
      <c r="W629" s="46"/>
      <c r="X629" s="46"/>
      <c r="Y629" s="223"/>
    </row>
    <row r="630" spans="2:25">
      <c r="B630" s="789"/>
      <c r="S630" s="92"/>
      <c r="W630" s="46"/>
      <c r="X630" s="46"/>
      <c r="Y630" s="223"/>
    </row>
    <row r="631" spans="2:25">
      <c r="B631" s="789"/>
      <c r="S631" s="92"/>
      <c r="W631" s="46"/>
      <c r="X631" s="46"/>
      <c r="Y631" s="223"/>
    </row>
    <row r="632" spans="2:25" s="1192" customFormat="1">
      <c r="B632" s="1190"/>
      <c r="C632" s="1191"/>
      <c r="P632" s="1191"/>
      <c r="Q632" s="1191"/>
      <c r="R632" s="1191"/>
      <c r="S632" s="1193"/>
      <c r="V632" s="1194"/>
      <c r="W632" s="1195"/>
      <c r="X632" s="1195"/>
      <c r="Y632" s="1196"/>
    </row>
    <row r="633" spans="2:25" s="1192" customFormat="1" ht="18.5">
      <c r="B633" s="1190"/>
      <c r="C633" s="1191"/>
      <c r="I633" s="1807" t="str">
        <f>Text!C208</f>
        <v>Regionalökonomie</v>
      </c>
      <c r="J633" s="1807"/>
      <c r="K633" s="1807"/>
      <c r="L633" s="1807"/>
      <c r="M633" s="1807"/>
      <c r="N633" s="1807"/>
      <c r="O633" s="1807"/>
      <c r="P633" s="1807"/>
      <c r="Q633" s="1191"/>
      <c r="R633" s="1191"/>
      <c r="S633" s="1193"/>
      <c r="V633" s="1194"/>
      <c r="W633" s="1195"/>
      <c r="X633" s="1195"/>
      <c r="Y633" s="1196"/>
    </row>
    <row r="634" spans="2:25" s="1192" customFormat="1" ht="15" customHeight="1">
      <c r="B634" s="1190"/>
      <c r="C634" s="1191"/>
      <c r="I634" s="1197"/>
      <c r="J634" s="1197"/>
      <c r="K634" s="1197"/>
      <c r="L634" s="1197"/>
      <c r="M634" s="1197"/>
      <c r="N634" s="1197"/>
      <c r="O634" s="1197"/>
      <c r="P634" s="1197"/>
      <c r="Q634" s="1191"/>
      <c r="R634" s="1191"/>
      <c r="S634" s="1193"/>
      <c r="V634" s="1194"/>
      <c r="W634" s="1195"/>
      <c r="X634" s="1195"/>
      <c r="Y634" s="1196"/>
    </row>
    <row r="635" spans="2:25">
      <c r="B635" s="789"/>
      <c r="P635" s="1"/>
      <c r="Q635" s="1"/>
      <c r="R635" s="1"/>
      <c r="S635" s="48"/>
      <c r="W635" s="46"/>
      <c r="X635" s="46"/>
      <c r="Y635" s="223"/>
    </row>
    <row r="636" spans="2:25" s="1192" customFormat="1" ht="15" customHeight="1">
      <c r="B636" s="1190" t="s">
        <v>5</v>
      </c>
      <c r="C636" s="1203"/>
      <c r="D636" s="1724" t="str">
        <f>Text!C209</f>
        <v>Werden bei Vergabe der Planungs- und Ausführungsarbeiten regional ansässige Unternehmen bewusst berücksichtigt bzw. wie hoch wird der entsprechende Anteil am Investitionsvolumens (BKP 2) voraussichtlich sein?</v>
      </c>
      <c r="E636" s="1724"/>
      <c r="F636" s="1724"/>
      <c r="G636" s="1724"/>
      <c r="H636" s="1724"/>
      <c r="I636" s="1724"/>
      <c r="J636" s="1724"/>
      <c r="K636" s="1724"/>
      <c r="L636" s="1724"/>
      <c r="M636" s="1724"/>
      <c r="N636" s="1724"/>
      <c r="O636" s="1724"/>
      <c r="P636" s="1724"/>
      <c r="Q636" s="4"/>
      <c r="R636" s="4"/>
      <c r="S636" s="92"/>
      <c r="T636" s="1"/>
      <c r="U636" s="1"/>
      <c r="V636" s="1198">
        <f>Text!B209</f>
        <v>231</v>
      </c>
      <c r="W636" s="1199"/>
      <c r="X636" s="1199"/>
      <c r="Y636" s="1201" t="str">
        <f>Text!C15</f>
        <v>Info [6]</v>
      </c>
    </row>
    <row r="637" spans="2:25" s="1192" customFormat="1" ht="15" customHeight="1">
      <c r="B637" s="1190"/>
      <c r="C637" s="1191"/>
      <c r="D637" s="1724"/>
      <c r="E637" s="1724"/>
      <c r="F637" s="1724"/>
      <c r="G637" s="1724"/>
      <c r="H637" s="1724"/>
      <c r="I637" s="1724"/>
      <c r="J637" s="1724"/>
      <c r="K637" s="1724"/>
      <c r="L637" s="1724"/>
      <c r="M637" s="1724"/>
      <c r="N637" s="1724"/>
      <c r="O637" s="1724"/>
      <c r="P637" s="1724"/>
      <c r="Q637" s="1"/>
      <c r="R637" s="1"/>
      <c r="S637" s="9"/>
      <c r="T637" s="1"/>
      <c r="U637" s="1"/>
      <c r="V637" s="1198"/>
      <c r="W637" s="1198"/>
      <c r="X637" s="1198"/>
      <c r="Y637" s="1201"/>
    </row>
    <row r="638" spans="2:25">
      <c r="B638" s="789"/>
      <c r="D638" s="13"/>
      <c r="E638" s="13"/>
      <c r="F638" s="13"/>
      <c r="G638" s="13"/>
      <c r="H638" s="13"/>
      <c r="I638" s="13"/>
      <c r="J638" s="13"/>
      <c r="K638" s="13"/>
      <c r="L638" s="13"/>
      <c r="M638" s="13"/>
      <c r="N638" s="13"/>
      <c r="O638" s="13"/>
      <c r="P638" s="125"/>
      <c r="S638" s="92"/>
      <c r="V638" s="21"/>
      <c r="W638" s="228"/>
      <c r="X638" s="228"/>
      <c r="Y638" s="165"/>
    </row>
    <row r="639" spans="2:25">
      <c r="B639" s="789"/>
      <c r="D639" s="13"/>
      <c r="E639" s="13"/>
      <c r="F639" s="13"/>
      <c r="G639" s="13"/>
      <c r="H639" s="13"/>
      <c r="I639" s="13"/>
      <c r="J639" s="13"/>
      <c r="K639" s="13"/>
      <c r="L639" s="13"/>
      <c r="M639" s="13"/>
      <c r="N639" s="13"/>
      <c r="O639" s="13"/>
      <c r="P639" s="125"/>
      <c r="S639" s="92"/>
      <c r="V639" s="21"/>
      <c r="W639" s="228"/>
      <c r="X639" s="228"/>
      <c r="Y639" s="165"/>
    </row>
    <row r="640" spans="2:25">
      <c r="B640" s="789"/>
      <c r="D640" s="13"/>
      <c r="E640" s="13"/>
      <c r="F640" s="13"/>
      <c r="G640" s="13"/>
      <c r="H640" s="13"/>
      <c r="I640" s="13"/>
      <c r="J640" s="13"/>
      <c r="K640" s="13"/>
      <c r="L640" s="13"/>
      <c r="M640" s="13"/>
      <c r="N640" s="13"/>
      <c r="O640" s="13"/>
      <c r="P640" s="125"/>
      <c r="S640" s="92"/>
      <c r="V640" s="21"/>
      <c r="W640" s="228"/>
      <c r="X640" s="228"/>
      <c r="Y640" s="165"/>
    </row>
    <row r="641" spans="1:25">
      <c r="B641" s="789"/>
      <c r="S641" s="92"/>
      <c r="W641" s="46"/>
      <c r="X641" s="46"/>
      <c r="Y641" s="223"/>
    </row>
    <row r="642" spans="1:25" ht="15" customHeight="1">
      <c r="B642" s="789"/>
      <c r="S642" s="92"/>
      <c r="W642" s="46"/>
      <c r="X642" s="46"/>
      <c r="Y642" s="223"/>
    </row>
    <row r="643" spans="1:25" ht="24.5">
      <c r="B643" s="789"/>
      <c r="D643" s="48"/>
      <c r="I643" s="1829" t="str">
        <f>Text!C211</f>
        <v>Umwelt</v>
      </c>
      <c r="J643" s="1829"/>
      <c r="K643" s="1829"/>
      <c r="L643" s="1829"/>
      <c r="M643" s="1829"/>
      <c r="N643" s="1829"/>
      <c r="O643" s="1829"/>
      <c r="P643" s="1829"/>
      <c r="S643" s="92"/>
      <c r="W643" s="46"/>
      <c r="X643" s="46"/>
      <c r="Y643" s="223"/>
    </row>
    <row r="644" spans="1:25" ht="24.5">
      <c r="B644" s="789"/>
      <c r="D644" s="48"/>
      <c r="I644" s="977"/>
      <c r="J644" s="977"/>
      <c r="K644" s="977"/>
      <c r="L644" s="977"/>
      <c r="M644" s="977"/>
      <c r="N644" s="977"/>
      <c r="O644" s="977"/>
      <c r="P644" s="977"/>
      <c r="S644" s="92"/>
      <c r="W644" s="46"/>
      <c r="X644" s="46"/>
      <c r="Y644" s="223"/>
    </row>
    <row r="645" spans="1:25" ht="24.5">
      <c r="B645" s="789"/>
      <c r="D645" s="48"/>
      <c r="I645" s="977"/>
      <c r="J645" s="977"/>
      <c r="K645" s="977"/>
      <c r="L645" s="977"/>
      <c r="M645" s="977"/>
      <c r="N645" s="977"/>
      <c r="O645" s="977"/>
      <c r="P645" s="977"/>
      <c r="S645" s="92"/>
      <c r="W645" s="46"/>
      <c r="X645" s="46"/>
      <c r="Y645" s="223"/>
    </row>
    <row r="646" spans="1:25" ht="24.5">
      <c r="B646" s="789"/>
      <c r="D646" s="48"/>
      <c r="I646" s="977"/>
      <c r="J646" s="977"/>
      <c r="K646" s="977"/>
      <c r="L646" s="977"/>
      <c r="M646" s="977"/>
      <c r="N646" s="977"/>
      <c r="O646" s="977"/>
      <c r="P646" s="977"/>
      <c r="S646" s="92"/>
      <c r="W646" s="46"/>
      <c r="X646" s="46"/>
      <c r="Y646" s="223"/>
    </row>
    <row r="647" spans="1:25" ht="30" customHeight="1">
      <c r="B647" s="789"/>
      <c r="S647" s="92"/>
      <c r="W647" s="46"/>
      <c r="X647" s="46"/>
      <c r="Y647" s="223"/>
    </row>
    <row r="648" spans="1:25" s="1204" customFormat="1">
      <c r="B648" s="1205"/>
      <c r="C648" s="1206"/>
      <c r="P648" s="1206"/>
      <c r="Q648" s="1206"/>
      <c r="R648" s="1206"/>
      <c r="S648" s="1207"/>
      <c r="V648" s="1208"/>
      <c r="W648" s="1209"/>
      <c r="X648" s="1209"/>
      <c r="Y648" s="1210"/>
    </row>
    <row r="649" spans="1:25" s="1204" customFormat="1" ht="18.5">
      <c r="B649" s="1205"/>
      <c r="C649" s="1206"/>
      <c r="I649" s="1809" t="str">
        <f>Text!C212</f>
        <v>Klimaschutz und Energie</v>
      </c>
      <c r="J649" s="1809"/>
      <c r="K649" s="1809"/>
      <c r="L649" s="1809"/>
      <c r="M649" s="1809"/>
      <c r="N649" s="1809"/>
      <c r="O649" s="1809"/>
      <c r="P649" s="1809"/>
      <c r="Q649" s="1206"/>
      <c r="R649" s="1206"/>
      <c r="S649" s="1207"/>
      <c r="V649" s="1208"/>
      <c r="W649" s="1209"/>
      <c r="X649" s="1209"/>
      <c r="Y649" s="1210"/>
    </row>
    <row r="650" spans="1:25" s="1204" customFormat="1" ht="15" customHeight="1">
      <c r="B650" s="1205"/>
      <c r="C650" s="1206"/>
      <c r="I650" s="1211"/>
      <c r="J650" s="1211"/>
      <c r="K650" s="1211"/>
      <c r="L650" s="1211"/>
      <c r="M650" s="1211"/>
      <c r="N650" s="1211"/>
      <c r="O650" s="1211"/>
      <c r="P650" s="1211"/>
      <c r="Q650" s="1206"/>
      <c r="R650" s="1206"/>
      <c r="S650" s="1207"/>
      <c r="V650" s="1208"/>
      <c r="W650" s="1209"/>
      <c r="X650" s="1209"/>
      <c r="Y650" s="1210"/>
    </row>
    <row r="651" spans="1:25">
      <c r="B651" s="789"/>
      <c r="P651" s="1"/>
      <c r="Q651" s="1"/>
      <c r="R651" s="1"/>
      <c r="S651" s="48"/>
      <c r="W651" s="46"/>
      <c r="X651" s="46"/>
      <c r="Y651" s="223"/>
    </row>
    <row r="652" spans="1:25" s="1204" customFormat="1" ht="30" customHeight="1">
      <c r="A652" s="1212"/>
      <c r="B652" s="1205" t="s">
        <v>5</v>
      </c>
      <c r="C652" s="1213"/>
      <c r="D652" s="1804" t="str">
        <f>Text!C213</f>
        <v>Wird eine Berechnung der Grauen Energie und Treibhausgasemissionen gemäss MB SIA 2032 vorgenommen und liegen die aufgewendete nicht erneuerbare Energie, respektive die emittierten Treibhausgase für die ''Erstellung'' des Bauvorhabens unterhalb des Grenzwerts 1 von Minergie-ECO?</v>
      </c>
      <c r="E652" s="1804"/>
      <c r="F652" s="1804"/>
      <c r="G652" s="1804"/>
      <c r="H652" s="1804"/>
      <c r="I652" s="1804"/>
      <c r="J652" s="1804"/>
      <c r="K652" s="1804"/>
      <c r="L652" s="1804"/>
      <c r="M652" s="1804"/>
      <c r="N652" s="1804"/>
      <c r="O652" s="1804"/>
      <c r="P652" s="1804"/>
      <c r="Q652" s="1"/>
      <c r="R652" s="1"/>
      <c r="S652" s="48"/>
      <c r="T652" s="1"/>
      <c r="U652" s="1"/>
      <c r="V652" s="1214" t="str">
        <f>IF(OR(Tool!H18="Klima-Check",Tool!H18="Check Climat",Tool!H18="Check Clima"),311,Text!B213)</f>
        <v>311 321</v>
      </c>
      <c r="W652" s="1215"/>
      <c r="X652" s="1215"/>
      <c r="Y652" s="1216" t="str">
        <f>Text!C11</f>
        <v>Info [2]</v>
      </c>
    </row>
    <row r="653" spans="1:25" s="1204" customFormat="1" ht="15" customHeight="1">
      <c r="A653" s="1212"/>
      <c r="B653" s="1205"/>
      <c r="C653" s="1213"/>
      <c r="D653" s="1810" t="str">
        <f>Text!C619</f>
        <v>SIA 2032:2020 «Graue Energie − Ökobilanzierung für die Erstellung von Gebäuden»</v>
      </c>
      <c r="E653" s="1810"/>
      <c r="F653" s="1810"/>
      <c r="G653" s="1810"/>
      <c r="H653" s="1810"/>
      <c r="I653" s="1810"/>
      <c r="J653" s="1810"/>
      <c r="K653" s="1810"/>
      <c r="L653" s="1810"/>
      <c r="M653" s="1810"/>
      <c r="N653" s="1810"/>
      <c r="O653" s="1810"/>
      <c r="P653" s="1810"/>
      <c r="Q653" s="1"/>
      <c r="R653" s="1"/>
      <c r="S653" s="9"/>
      <c r="T653" s="1"/>
      <c r="U653" s="995">
        <v>0</v>
      </c>
      <c r="V653" s="1214"/>
      <c r="W653" s="1215"/>
      <c r="X653" s="1215"/>
      <c r="Y653" s="1217"/>
    </row>
    <row r="654" spans="1:25" ht="15" hidden="1" customHeight="1">
      <c r="A654" s="123"/>
      <c r="B654" s="789"/>
      <c r="C654" s="3"/>
      <c r="D654" s="124"/>
      <c r="E654" s="124"/>
      <c r="F654" s="124"/>
      <c r="G654" s="124"/>
      <c r="H654" s="124"/>
      <c r="I654" s="124"/>
      <c r="J654" s="124"/>
      <c r="K654" s="124"/>
      <c r="L654" s="124"/>
      <c r="M654" s="124"/>
      <c r="N654" s="124"/>
      <c r="O654" s="124"/>
      <c r="P654" s="124"/>
      <c r="Q654" s="1"/>
      <c r="R654" s="1"/>
      <c r="S654" s="48"/>
      <c r="V654" s="21"/>
      <c r="W654" s="21"/>
      <c r="X654" s="21"/>
      <c r="Y654" s="165"/>
    </row>
    <row r="655" spans="1:25" s="1204" customFormat="1" ht="15" hidden="1" customHeight="1">
      <c r="A655" s="1212"/>
      <c r="B655" s="1205"/>
      <c r="C655" s="1213"/>
      <c r="D655" s="1804" t="str">
        <f>Text!C214</f>
        <v>Weist das Gebäude eine hohe Kompaktheit auf, bzw. ist das Verhältnis zwischen der Gebäudehüllenfläche zur Geschossfläche besonders tief?</v>
      </c>
      <c r="E655" s="1804"/>
      <c r="F655" s="1804"/>
      <c r="G655" s="1804"/>
      <c r="H655" s="1804"/>
      <c r="I655" s="1804"/>
      <c r="J655" s="1804"/>
      <c r="K655" s="1804"/>
      <c r="L655" s="1804"/>
      <c r="M655" s="1804"/>
      <c r="N655" s="1804"/>
      <c r="O655" s="1804"/>
      <c r="P655" s="1804"/>
      <c r="Q655" s="1"/>
      <c r="R655" s="1"/>
      <c r="S655" s="48"/>
      <c r="T655" s="1"/>
      <c r="U655" s="1"/>
      <c r="V655" s="1215"/>
      <c r="W655" s="1215"/>
      <c r="X655" s="1215"/>
      <c r="Y655" s="1217"/>
    </row>
    <row r="656" spans="1:25" s="1204" customFormat="1" ht="15" hidden="1" customHeight="1">
      <c r="B656" s="1218"/>
      <c r="D656" s="1804"/>
      <c r="E656" s="1804"/>
      <c r="F656" s="1804"/>
      <c r="G656" s="1804"/>
      <c r="H656" s="1804"/>
      <c r="I656" s="1804"/>
      <c r="J656" s="1804"/>
      <c r="K656" s="1804"/>
      <c r="L656" s="1804"/>
      <c r="M656" s="1804"/>
      <c r="N656" s="1804"/>
      <c r="O656" s="1804"/>
      <c r="P656" s="1804"/>
      <c r="Q656" s="1"/>
      <c r="R656" s="1"/>
      <c r="S656" s="9"/>
      <c r="T656" s="1"/>
      <c r="U656" s="1"/>
      <c r="V656" s="1214"/>
      <c r="W656" s="1215"/>
      <c r="X656" s="1215"/>
      <c r="Y656" s="1217"/>
    </row>
    <row r="657" spans="1:25" ht="15" hidden="1" customHeight="1">
      <c r="A657" s="123"/>
      <c r="B657" s="789"/>
      <c r="C657" s="3"/>
      <c r="D657" s="124"/>
      <c r="E657" s="124"/>
      <c r="F657" s="124"/>
      <c r="G657" s="124"/>
      <c r="H657" s="124"/>
      <c r="I657" s="124"/>
      <c r="J657" s="124"/>
      <c r="K657" s="124"/>
      <c r="L657" s="124"/>
      <c r="M657" s="124"/>
      <c r="N657" s="124"/>
      <c r="O657" s="124"/>
      <c r="P657" s="124"/>
      <c r="Q657" s="1"/>
      <c r="R657" s="1"/>
      <c r="S657" s="48"/>
      <c r="V657" s="21"/>
      <c r="W657" s="21"/>
      <c r="X657" s="21"/>
      <c r="Y657" s="165"/>
    </row>
    <row r="658" spans="1:25" s="1204" customFormat="1" ht="15" hidden="1" customHeight="1">
      <c r="A658" s="1212"/>
      <c r="B658" s="1205"/>
      <c r="C658" s="1213"/>
      <c r="D658" s="1804" t="str">
        <f>Text!C215</f>
        <v>Ist der Grossteil der Tragstruktur des Gebäudes in Leichtbauweise konzipiert? (Kerne können in Massivbauweise ausgebildet sein)</v>
      </c>
      <c r="E658" s="1804"/>
      <c r="F658" s="1804"/>
      <c r="G658" s="1804"/>
      <c r="H658" s="1804"/>
      <c r="I658" s="1804"/>
      <c r="J658" s="1804"/>
      <c r="K658" s="1804"/>
      <c r="L658" s="1804"/>
      <c r="M658" s="1804"/>
      <c r="N658" s="1804"/>
      <c r="O658" s="1804"/>
      <c r="P658" s="1804"/>
      <c r="Q658" s="1"/>
      <c r="R658" s="1"/>
      <c r="S658" s="48"/>
      <c r="T658" s="1"/>
      <c r="U658" s="1"/>
      <c r="V658" s="1215"/>
      <c r="W658" s="1215"/>
      <c r="X658" s="1215"/>
      <c r="Y658" s="1217"/>
    </row>
    <row r="659" spans="1:25" s="1204" customFormat="1" ht="15" hidden="1" customHeight="1">
      <c r="B659" s="1218"/>
      <c r="D659" s="1804"/>
      <c r="E659" s="1804"/>
      <c r="F659" s="1804"/>
      <c r="G659" s="1804"/>
      <c r="H659" s="1804"/>
      <c r="I659" s="1804"/>
      <c r="J659" s="1804"/>
      <c r="K659" s="1804"/>
      <c r="L659" s="1804"/>
      <c r="M659" s="1804"/>
      <c r="N659" s="1804"/>
      <c r="O659" s="1804"/>
      <c r="P659" s="1804"/>
      <c r="Q659" s="1"/>
      <c r="R659" s="1"/>
      <c r="S659" s="9"/>
      <c r="T659" s="1"/>
      <c r="U659" s="1"/>
      <c r="V659" s="1214"/>
      <c r="W659" s="1215"/>
      <c r="X659" s="1215"/>
      <c r="Y659" s="1217"/>
    </row>
    <row r="660" spans="1:25" hidden="1">
      <c r="A660" s="123"/>
      <c r="B660" s="789"/>
      <c r="C660" s="3"/>
      <c r="D660" s="124"/>
      <c r="E660" s="124"/>
      <c r="F660" s="124"/>
      <c r="G660" s="124"/>
      <c r="H660" s="124"/>
      <c r="I660" s="124"/>
      <c r="J660" s="124"/>
      <c r="K660" s="124"/>
      <c r="L660" s="124"/>
      <c r="M660" s="124"/>
      <c r="N660" s="124"/>
      <c r="O660" s="124"/>
      <c r="P660" s="124"/>
      <c r="Q660" s="1"/>
      <c r="R660" s="1"/>
      <c r="S660" s="48"/>
      <c r="V660" s="21"/>
      <c r="W660" s="21"/>
      <c r="X660" s="21"/>
      <c r="Y660" s="165"/>
    </row>
    <row r="661" spans="1:25" s="1204" customFormat="1" ht="15" hidden="1" customHeight="1">
      <c r="A661" s="1212"/>
      <c r="B661" s="1205"/>
      <c r="C661" s="1213"/>
      <c r="D661" s="1804" t="str">
        <f>Text!C216</f>
        <v>Ist die Tragstruktur des Gebäudes so ausgelegt, dass sie sowohl eine effiziente vertikale Lastabtragung ermöglicht als auch die Spannweiten optimiert?</v>
      </c>
      <c r="E661" s="1804"/>
      <c r="F661" s="1804"/>
      <c r="G661" s="1804"/>
      <c r="H661" s="1804"/>
      <c r="I661" s="1804"/>
      <c r="J661" s="1804"/>
      <c r="K661" s="1804"/>
      <c r="L661" s="1804"/>
      <c r="M661" s="1804"/>
      <c r="N661" s="1804"/>
      <c r="O661" s="1804"/>
      <c r="P661" s="1804"/>
      <c r="Q661" s="1"/>
      <c r="R661" s="1"/>
      <c r="S661" s="48"/>
      <c r="T661" s="1"/>
      <c r="U661" s="1"/>
      <c r="V661" s="1215"/>
      <c r="W661" s="1215"/>
      <c r="X661" s="1215"/>
      <c r="Y661" s="1217"/>
    </row>
    <row r="662" spans="1:25" s="1204" customFormat="1" ht="15" hidden="1" customHeight="1">
      <c r="B662" s="1218"/>
      <c r="D662" s="1804"/>
      <c r="E662" s="1804"/>
      <c r="F662" s="1804"/>
      <c r="G662" s="1804"/>
      <c r="H662" s="1804"/>
      <c r="I662" s="1804"/>
      <c r="J662" s="1804"/>
      <c r="K662" s="1804"/>
      <c r="L662" s="1804"/>
      <c r="M662" s="1804"/>
      <c r="N662" s="1804"/>
      <c r="O662" s="1804"/>
      <c r="P662" s="1804"/>
      <c r="Q662" s="1"/>
      <c r="R662" s="1"/>
      <c r="S662" s="9"/>
      <c r="T662" s="1"/>
      <c r="U662" s="1"/>
      <c r="V662" s="1214"/>
      <c r="W662" s="1215"/>
      <c r="X662" s="1215"/>
      <c r="Y662" s="1217"/>
    </row>
    <row r="663" spans="1:25" hidden="1">
      <c r="A663" s="123"/>
      <c r="B663" s="789"/>
      <c r="C663" s="3"/>
      <c r="D663" s="124"/>
      <c r="E663" s="124"/>
      <c r="F663" s="124"/>
      <c r="G663" s="124"/>
      <c r="H663" s="124"/>
      <c r="I663" s="124"/>
      <c r="J663" s="124"/>
      <c r="K663" s="124"/>
      <c r="L663" s="124"/>
      <c r="M663" s="124"/>
      <c r="N663" s="124"/>
      <c r="O663" s="124"/>
      <c r="P663" s="124"/>
      <c r="Q663" s="1"/>
      <c r="R663" s="1"/>
      <c r="S663" s="48"/>
      <c r="V663" s="21"/>
      <c r="W663" s="21"/>
      <c r="X663" s="21"/>
      <c r="Y663" s="165"/>
    </row>
    <row r="664" spans="1:25" s="1204" customFormat="1" ht="15" hidden="1" customHeight="1">
      <c r="A664" s="1212"/>
      <c r="B664" s="1205"/>
      <c r="C664" s="1213"/>
      <c r="D664" s="1804" t="str">
        <f>Text!C217</f>
        <v xml:space="preserve">Beträgt die Fensterfläche weniger als 50 % der gesamten Fassadenfläche des Gebäudes? </v>
      </c>
      <c r="E664" s="1804"/>
      <c r="F664" s="1804"/>
      <c r="G664" s="1804"/>
      <c r="H664" s="1804"/>
      <c r="I664" s="1804"/>
      <c r="J664" s="1804"/>
      <c r="K664" s="1804"/>
      <c r="L664" s="1804"/>
      <c r="M664" s="1804"/>
      <c r="N664" s="1804"/>
      <c r="O664" s="1804"/>
      <c r="P664" s="1804"/>
      <c r="Q664" s="1"/>
      <c r="R664" s="1"/>
      <c r="S664" s="48"/>
      <c r="T664" s="1"/>
      <c r="U664" s="1"/>
      <c r="V664" s="1215"/>
      <c r="W664" s="1215"/>
      <c r="X664" s="1215"/>
      <c r="Y664" s="1217"/>
    </row>
    <row r="665" spans="1:25" s="1204" customFormat="1" ht="15" hidden="1" customHeight="1">
      <c r="B665" s="1218"/>
      <c r="D665" s="1804"/>
      <c r="E665" s="1804"/>
      <c r="F665" s="1804"/>
      <c r="G665" s="1804"/>
      <c r="H665" s="1804"/>
      <c r="I665" s="1804"/>
      <c r="J665" s="1804"/>
      <c r="K665" s="1804"/>
      <c r="L665" s="1804"/>
      <c r="M665" s="1804"/>
      <c r="N665" s="1804"/>
      <c r="O665" s="1804"/>
      <c r="P665" s="1804"/>
      <c r="Q665" s="1"/>
      <c r="R665" s="1"/>
      <c r="S665" s="9"/>
      <c r="T665" s="1"/>
      <c r="U665" s="1"/>
      <c r="V665" s="1214"/>
      <c r="W665" s="1215"/>
      <c r="X665" s="1215"/>
      <c r="Y665" s="1217"/>
    </row>
    <row r="666" spans="1:25" hidden="1">
      <c r="A666" s="123"/>
      <c r="B666" s="789"/>
      <c r="C666" s="3"/>
      <c r="D666" s="124"/>
      <c r="E666" s="124"/>
      <c r="F666" s="124"/>
      <c r="G666" s="124"/>
      <c r="H666" s="124"/>
      <c r="I666" s="124"/>
      <c r="J666" s="124"/>
      <c r="K666" s="124"/>
      <c r="L666" s="124"/>
      <c r="M666" s="124"/>
      <c r="N666" s="124"/>
      <c r="O666" s="124"/>
      <c r="P666" s="124"/>
      <c r="Q666" s="1"/>
      <c r="R666" s="1"/>
      <c r="S666" s="48"/>
      <c r="V666" s="21"/>
      <c r="W666" s="21"/>
      <c r="X666" s="21"/>
      <c r="Y666" s="165"/>
    </row>
    <row r="667" spans="1:25" s="1204" customFormat="1" ht="15" hidden="1" customHeight="1">
      <c r="A667" s="1212"/>
      <c r="B667" s="1205"/>
      <c r="C667" s="1213"/>
      <c r="D667" s="1804" t="str">
        <f>Text!C218</f>
        <v>Werden beim Bauvorhaben bewusst Materialien eingesetzt, welche einen geringen Erstellungsaufwand aufweisen (z. B. eine leichte statt schwere Fassadenbekleidung)?</v>
      </c>
      <c r="E667" s="1804"/>
      <c r="F667" s="1804"/>
      <c r="G667" s="1804"/>
      <c r="H667" s="1804"/>
      <c r="I667" s="1804"/>
      <c r="J667" s="1804"/>
      <c r="K667" s="1804"/>
      <c r="L667" s="1804"/>
      <c r="M667" s="1804"/>
      <c r="N667" s="1804"/>
      <c r="O667" s="1804"/>
      <c r="P667" s="1804"/>
      <c r="Q667" s="1"/>
      <c r="R667" s="1"/>
      <c r="S667" s="48"/>
      <c r="T667" s="1"/>
      <c r="U667" s="1"/>
      <c r="V667" s="1215"/>
      <c r="W667" s="1215"/>
      <c r="X667" s="1215"/>
      <c r="Y667" s="1217" t="str">
        <f>Text!C669</f>
        <v>Info [9]</v>
      </c>
    </row>
    <row r="668" spans="1:25" s="1204" customFormat="1" ht="15" hidden="1" customHeight="1">
      <c r="B668" s="1218"/>
      <c r="D668" s="1804"/>
      <c r="E668" s="1804"/>
      <c r="F668" s="1804"/>
      <c r="G668" s="1804"/>
      <c r="H668" s="1804"/>
      <c r="I668" s="1804"/>
      <c r="J668" s="1804"/>
      <c r="K668" s="1804"/>
      <c r="L668" s="1804"/>
      <c r="M668" s="1804"/>
      <c r="N668" s="1804"/>
      <c r="O668" s="1804"/>
      <c r="P668" s="1804"/>
      <c r="Q668" s="1"/>
      <c r="R668" s="1"/>
      <c r="S668" s="9"/>
      <c r="T668" s="1"/>
      <c r="U668" s="1"/>
      <c r="V668" s="1214"/>
      <c r="W668" s="1215"/>
      <c r="X668" s="1215"/>
      <c r="Y668" s="1217"/>
    </row>
    <row r="669" spans="1:25" ht="15" hidden="1" customHeight="1">
      <c r="A669" s="123"/>
      <c r="B669" s="789"/>
      <c r="D669" s="124"/>
      <c r="E669" s="124"/>
      <c r="F669" s="124"/>
      <c r="G669" s="124"/>
      <c r="H669" s="124"/>
      <c r="I669" s="124"/>
      <c r="J669" s="124"/>
      <c r="K669" s="124"/>
      <c r="L669" s="124"/>
      <c r="M669" s="124"/>
      <c r="N669" s="124"/>
      <c r="O669" s="124"/>
      <c r="P669" s="125"/>
      <c r="S669" s="48"/>
      <c r="V669" s="21"/>
      <c r="W669" s="21"/>
      <c r="X669" s="21"/>
      <c r="Y669" s="165"/>
    </row>
    <row r="670" spans="1:25" s="1204" customFormat="1" ht="15" hidden="1" customHeight="1">
      <c r="A670" s="1212"/>
      <c r="B670" s="1205"/>
      <c r="C670" s="1213"/>
      <c r="D670" s="1804" t="str">
        <f>Text!C219</f>
        <v>Werden im Rahmen des Bauprojektes keine Bauten zurückgebaut, die weniger als 60 Jahre alt sind?</v>
      </c>
      <c r="E670" s="1804"/>
      <c r="F670" s="1804"/>
      <c r="G670" s="1804"/>
      <c r="H670" s="1804"/>
      <c r="I670" s="1804"/>
      <c r="J670" s="1804"/>
      <c r="K670" s="1804"/>
      <c r="L670" s="1804"/>
      <c r="M670" s="1804"/>
      <c r="N670" s="1804"/>
      <c r="O670" s="1804"/>
      <c r="P670" s="1804"/>
      <c r="Q670" s="1"/>
      <c r="R670" s="1"/>
      <c r="S670" s="48"/>
      <c r="T670" s="1"/>
      <c r="U670" s="1"/>
      <c r="V670" s="1215"/>
      <c r="W670" s="1215"/>
      <c r="X670" s="1215"/>
      <c r="Y670" s="1217"/>
    </row>
    <row r="671" spans="1:25" s="1204" customFormat="1" ht="15" hidden="1" customHeight="1">
      <c r="B671" s="1218"/>
      <c r="D671" s="1804"/>
      <c r="E671" s="1804"/>
      <c r="F671" s="1804"/>
      <c r="G671" s="1804"/>
      <c r="H671" s="1804"/>
      <c r="I671" s="1804"/>
      <c r="J671" s="1804"/>
      <c r="K671" s="1804"/>
      <c r="L671" s="1804"/>
      <c r="M671" s="1804"/>
      <c r="N671" s="1804"/>
      <c r="O671" s="1804"/>
      <c r="P671" s="1804"/>
      <c r="Q671" s="1"/>
      <c r="R671" s="1"/>
      <c r="S671" s="9"/>
      <c r="T671" s="1"/>
      <c r="U671" s="1"/>
      <c r="V671" s="1214"/>
      <c r="W671" s="1215"/>
      <c r="X671" s="1215"/>
      <c r="Y671" s="1217"/>
    </row>
    <row r="672" spans="1:25" ht="15" hidden="1" customHeight="1">
      <c r="A672" s="123"/>
      <c r="B672" s="789"/>
      <c r="C672" s="3"/>
      <c r="D672" s="124"/>
      <c r="E672" s="124"/>
      <c r="F672" s="124"/>
      <c r="G672" s="124"/>
      <c r="H672" s="124"/>
      <c r="I672" s="124"/>
      <c r="J672" s="124"/>
      <c r="K672" s="124"/>
      <c r="L672" s="124"/>
      <c r="M672" s="124"/>
      <c r="N672" s="124"/>
      <c r="O672" s="124"/>
      <c r="P672" s="125"/>
      <c r="S672" s="92"/>
      <c r="V672" s="21"/>
      <c r="W672" s="228"/>
      <c r="X672" s="228"/>
      <c r="Y672" s="165"/>
    </row>
    <row r="673" spans="1:25" s="1204" customFormat="1" ht="15" hidden="1" customHeight="1">
      <c r="A673" s="1212"/>
      <c r="B673" s="1205"/>
      <c r="C673" s="1213"/>
      <c r="D673" s="1804" t="str">
        <f>Text!C220</f>
        <v>Ist der Anteil unterirdischer Geschossfläche weniger als 20% der gesamten Geschossfläche des Gebäudes?  (kein UG = «Ja»)</v>
      </c>
      <c r="E673" s="1804"/>
      <c r="F673" s="1804"/>
      <c r="G673" s="1804"/>
      <c r="H673" s="1804"/>
      <c r="I673" s="1804"/>
      <c r="J673" s="1804"/>
      <c r="K673" s="1804"/>
      <c r="L673" s="1804"/>
      <c r="M673" s="1804"/>
      <c r="N673" s="1804"/>
      <c r="O673" s="1804"/>
      <c r="P673" s="1804"/>
      <c r="Q673" s="1"/>
      <c r="R673" s="1"/>
      <c r="S673" s="48"/>
      <c r="T673" s="1"/>
      <c r="U673" s="1"/>
      <c r="V673" s="1215"/>
      <c r="W673" s="1215"/>
      <c r="X673" s="1215"/>
      <c r="Y673" s="1217"/>
    </row>
    <row r="674" spans="1:25" s="1204" customFormat="1" ht="15" hidden="1" customHeight="1">
      <c r="B674" s="1218"/>
      <c r="D674" s="1804"/>
      <c r="E674" s="1804"/>
      <c r="F674" s="1804"/>
      <c r="G674" s="1804"/>
      <c r="H674" s="1804"/>
      <c r="I674" s="1804"/>
      <c r="J674" s="1804"/>
      <c r="K674" s="1804"/>
      <c r="L674" s="1804"/>
      <c r="M674" s="1804"/>
      <c r="N674" s="1804"/>
      <c r="O674" s="1804"/>
      <c r="P674" s="1804"/>
      <c r="Q674" s="1"/>
      <c r="R674" s="1"/>
      <c r="S674" s="9"/>
      <c r="T674" s="1"/>
      <c r="U674" s="1"/>
      <c r="V674" s="1214"/>
      <c r="W674" s="1215"/>
      <c r="X674" s="1215"/>
      <c r="Y674" s="1217"/>
    </row>
    <row r="675" spans="1:25" ht="15" customHeight="1">
      <c r="A675" s="123"/>
      <c r="B675" s="789"/>
      <c r="C675" s="3"/>
      <c r="D675" s="124"/>
      <c r="E675" s="124"/>
      <c r="F675" s="124"/>
      <c r="G675" s="124"/>
      <c r="H675" s="124"/>
      <c r="I675" s="124"/>
      <c r="J675" s="124"/>
      <c r="K675" s="124"/>
      <c r="L675" s="124"/>
      <c r="M675" s="124"/>
      <c r="N675" s="124"/>
      <c r="O675" s="124"/>
      <c r="P675" s="125"/>
      <c r="S675" s="92"/>
      <c r="V675" s="21"/>
      <c r="W675" s="228"/>
      <c r="X675" s="228"/>
      <c r="Y675" s="165"/>
    </row>
    <row r="676" spans="1:25" s="1204" customFormat="1" ht="29.15" customHeight="1">
      <c r="A676" s="1212"/>
      <c r="B676" s="1205"/>
      <c r="C676" s="1213"/>
      <c r="D676" s="1804" t="str">
        <f>Text!C221</f>
        <v>Liegen bei einer Berechnung der Betriebsenergie gemäss SIA 380/1, 382/2 und 387/4 die aufgewendeten nicht erneuerbaren Energien, für den Betrieb des Gebäudes unterhalb der Grenzwerte eines Minergie-A oder -P Standards?</v>
      </c>
      <c r="E676" s="1804"/>
      <c r="F676" s="1804"/>
      <c r="G676" s="1804"/>
      <c r="H676" s="1804"/>
      <c r="I676" s="1804"/>
      <c r="J676" s="1804"/>
      <c r="K676" s="1804"/>
      <c r="L676" s="1804"/>
      <c r="M676" s="1804"/>
      <c r="N676" s="1804"/>
      <c r="O676" s="1804"/>
      <c r="P676" s="1804"/>
      <c r="Q676" s="4"/>
      <c r="R676" s="4"/>
      <c r="S676" s="92"/>
      <c r="T676" s="1"/>
      <c r="U676" s="1"/>
      <c r="V676" s="1215">
        <f>Text!B221</f>
        <v>322</v>
      </c>
      <c r="W676" s="1221"/>
      <c r="X676" s="1221"/>
      <c r="Y676" s="1216" t="str">
        <f>Text!C11</f>
        <v>Info [2]</v>
      </c>
    </row>
    <row r="677" spans="1:25" s="1204" customFormat="1" ht="44.15" customHeight="1">
      <c r="A677" s="1212"/>
      <c r="B677" s="1205"/>
      <c r="C677" s="1206"/>
      <c r="D677" s="1810" t="str">
        <f>Text!C620</f>
        <v>SIA 380/1:2016 «Heizwärmebedarf»
SIA 382/2:2011 «Klimatisierte Gebäude − Leistungs- und Energiebedarf»
SIA 387/4:2023 «Elektrizität in Gebäuden − Beleuchtung: Berechnung und Anforderungen»</v>
      </c>
      <c r="E677" s="1810"/>
      <c r="F677" s="1810"/>
      <c r="G677" s="1810"/>
      <c r="H677" s="1810"/>
      <c r="I677" s="1810"/>
      <c r="J677" s="1810"/>
      <c r="K677" s="1810"/>
      <c r="L677" s="1810"/>
      <c r="M677" s="1810"/>
      <c r="N677" s="1810"/>
      <c r="O677" s="1810"/>
      <c r="P677" s="1810"/>
      <c r="Q677" s="4"/>
      <c r="R677" s="4"/>
      <c r="S677" s="9"/>
      <c r="T677" s="1"/>
      <c r="U677" s="995" t="s">
        <v>1444</v>
      </c>
      <c r="V677" s="1215"/>
      <c r="W677" s="1221"/>
      <c r="X677" s="1221"/>
      <c r="Y677" s="1217"/>
    </row>
    <row r="678" spans="1:25" ht="15" hidden="1" customHeight="1">
      <c r="A678" s="123"/>
      <c r="B678" s="789"/>
      <c r="D678" s="124"/>
      <c r="E678" s="124"/>
      <c r="F678" s="124"/>
      <c r="G678" s="124"/>
      <c r="H678" s="124"/>
      <c r="I678" s="124"/>
      <c r="J678" s="124"/>
      <c r="K678" s="124"/>
      <c r="L678" s="124"/>
      <c r="M678" s="124"/>
      <c r="N678" s="124"/>
      <c r="O678" s="124"/>
      <c r="P678" s="125"/>
      <c r="S678" s="92"/>
      <c r="V678" s="21"/>
      <c r="W678" s="228"/>
      <c r="X678" s="228"/>
      <c r="Y678" s="165"/>
    </row>
    <row r="679" spans="1:25" s="1204" customFormat="1" ht="15" hidden="1" customHeight="1">
      <c r="A679" s="1212"/>
      <c r="B679" s="1205"/>
      <c r="C679" s="1213"/>
      <c r="D679" s="1804"/>
      <c r="E679" s="1804"/>
      <c r="F679" s="1804"/>
      <c r="G679" s="1804"/>
      <c r="H679" s="1804"/>
      <c r="I679" s="1804"/>
      <c r="J679" s="1804"/>
      <c r="K679" s="1804"/>
      <c r="L679" s="1804"/>
      <c r="M679" s="1804"/>
      <c r="N679" s="1804"/>
      <c r="O679" s="1804"/>
      <c r="P679" s="1804"/>
      <c r="Q679" s="1"/>
      <c r="R679" s="1"/>
      <c r="S679" s="48"/>
      <c r="T679" s="1"/>
      <c r="U679" s="1"/>
      <c r="V679" s="1215"/>
      <c r="W679" s="1215"/>
      <c r="X679" s="1215"/>
      <c r="Y679" s="1217"/>
    </row>
    <row r="680" spans="1:25" s="1204" customFormat="1" ht="15" hidden="1" customHeight="1">
      <c r="B680" s="1218"/>
      <c r="D680" s="1804"/>
      <c r="E680" s="1804"/>
      <c r="F680" s="1804"/>
      <c r="G680" s="1804"/>
      <c r="H680" s="1804"/>
      <c r="I680" s="1804"/>
      <c r="J680" s="1804"/>
      <c r="K680" s="1804"/>
      <c r="L680" s="1804"/>
      <c r="M680" s="1804"/>
      <c r="N680" s="1804"/>
      <c r="O680" s="1804"/>
      <c r="P680" s="1804"/>
      <c r="Q680" s="1"/>
      <c r="R680" s="1"/>
      <c r="S680" s="9"/>
      <c r="T680" s="1"/>
      <c r="U680" s="1"/>
      <c r="V680" s="1214"/>
      <c r="W680" s="1215"/>
      <c r="X680" s="1215"/>
      <c r="Y680" s="1217"/>
    </row>
    <row r="681" spans="1:25" ht="15" hidden="1" customHeight="1">
      <c r="A681" s="123"/>
      <c r="B681" s="789"/>
      <c r="C681" s="3"/>
      <c r="D681" s="124"/>
      <c r="E681" s="124"/>
      <c r="F681" s="124"/>
      <c r="G681" s="124"/>
      <c r="H681" s="124"/>
      <c r="I681" s="124"/>
      <c r="J681" s="124"/>
      <c r="K681" s="124"/>
      <c r="L681" s="124"/>
      <c r="M681" s="124"/>
      <c r="N681" s="124"/>
      <c r="O681" s="124"/>
      <c r="P681" s="125"/>
      <c r="S681" s="92"/>
      <c r="V681" s="21"/>
      <c r="W681" s="228"/>
      <c r="X681" s="228"/>
      <c r="Y681" s="165"/>
    </row>
    <row r="682" spans="1:25" s="1204" customFormat="1" ht="15" hidden="1" customHeight="1">
      <c r="A682" s="1212"/>
      <c r="B682" s="1205"/>
      <c r="C682" s="1213"/>
      <c r="D682" s="1804" t="str">
        <f>Text!C223</f>
        <v>Weist das Gebäude eine hohe Kompaktheit auf, bzw. ist das Verhältnis zwischen der Gebäudehüllenfläche zur Geschossfläche besonders tief?</v>
      </c>
      <c r="E682" s="1804"/>
      <c r="F682" s="1804"/>
      <c r="G682" s="1804"/>
      <c r="H682" s="1804"/>
      <c r="I682" s="1804"/>
      <c r="J682" s="1804"/>
      <c r="K682" s="1804"/>
      <c r="L682" s="1804"/>
      <c r="M682" s="1804"/>
      <c r="N682" s="1804"/>
      <c r="O682" s="1804"/>
      <c r="P682" s="1804"/>
      <c r="Q682" s="1"/>
      <c r="R682" s="1"/>
      <c r="S682" s="48"/>
      <c r="T682" s="1"/>
      <c r="U682" s="1"/>
      <c r="V682" s="1215"/>
      <c r="W682" s="1215"/>
      <c r="X682" s="1215"/>
      <c r="Y682" s="1217"/>
    </row>
    <row r="683" spans="1:25" s="1204" customFormat="1" ht="15" hidden="1" customHeight="1">
      <c r="B683" s="1218"/>
      <c r="D683" s="1804"/>
      <c r="E683" s="1804"/>
      <c r="F683" s="1804"/>
      <c r="G683" s="1804"/>
      <c r="H683" s="1804"/>
      <c r="I683" s="1804"/>
      <c r="J683" s="1804"/>
      <c r="K683" s="1804"/>
      <c r="L683" s="1804"/>
      <c r="M683" s="1804"/>
      <c r="N683" s="1804"/>
      <c r="O683" s="1804"/>
      <c r="P683" s="1804"/>
      <c r="Q683" s="1"/>
      <c r="R683" s="1"/>
      <c r="S683" s="9"/>
      <c r="T683" s="1"/>
      <c r="U683" s="1"/>
      <c r="V683" s="1214"/>
      <c r="W683" s="1215"/>
      <c r="X683" s="1215"/>
      <c r="Y683" s="1217"/>
    </row>
    <row r="684" spans="1:25" ht="15" hidden="1" customHeight="1">
      <c r="A684" s="123"/>
      <c r="B684" s="789"/>
      <c r="C684" s="3"/>
      <c r="D684" s="125"/>
      <c r="E684" s="125"/>
      <c r="F684" s="125"/>
      <c r="G684" s="125"/>
      <c r="H684" s="125"/>
      <c r="I684" s="125"/>
      <c r="J684" s="125"/>
      <c r="K684" s="125"/>
      <c r="L684" s="125"/>
      <c r="M684" s="125"/>
      <c r="N684" s="125"/>
      <c r="O684" s="125"/>
      <c r="P684" s="125"/>
      <c r="Q684" s="1"/>
      <c r="R684" s="1"/>
      <c r="S684" s="48"/>
      <c r="V684" s="1"/>
      <c r="Y684" s="1"/>
    </row>
    <row r="685" spans="1:25" s="1204" customFormat="1" ht="15" hidden="1" customHeight="1">
      <c r="A685" s="1212"/>
      <c r="B685" s="1205"/>
      <c r="C685" s="1213"/>
      <c r="D685" s="1804" t="str">
        <f>Text!C224</f>
        <v>Ist die Dämmung besser als die gesetzlichen Vorgaben (z. B. Minergie Standard)?</v>
      </c>
      <c r="E685" s="1804"/>
      <c r="F685" s="1804"/>
      <c r="G685" s="1804"/>
      <c r="H685" s="1804"/>
      <c r="I685" s="1804"/>
      <c r="J685" s="1804"/>
      <c r="K685" s="1804"/>
      <c r="L685" s="1804"/>
      <c r="M685" s="1804"/>
      <c r="N685" s="1804"/>
      <c r="O685" s="1804"/>
      <c r="P685" s="1804"/>
      <c r="Q685" s="1"/>
      <c r="R685" s="1"/>
      <c r="S685" s="48"/>
      <c r="T685" s="1"/>
      <c r="U685" s="1"/>
      <c r="V685" s="1215"/>
      <c r="W685" s="1215"/>
      <c r="X685" s="1215"/>
      <c r="Y685" s="1217"/>
    </row>
    <row r="686" spans="1:25" s="1204" customFormat="1" ht="15" hidden="1" customHeight="1">
      <c r="B686" s="1218"/>
      <c r="D686" s="1804"/>
      <c r="E686" s="1804"/>
      <c r="F686" s="1804"/>
      <c r="G686" s="1804"/>
      <c r="H686" s="1804"/>
      <c r="I686" s="1804"/>
      <c r="J686" s="1804"/>
      <c r="K686" s="1804"/>
      <c r="L686" s="1804"/>
      <c r="M686" s="1804"/>
      <c r="N686" s="1804"/>
      <c r="O686" s="1804"/>
      <c r="P686" s="1804"/>
      <c r="Q686" s="1"/>
      <c r="R686" s="1"/>
      <c r="S686" s="9"/>
      <c r="T686" s="1"/>
      <c r="U686" s="1"/>
      <c r="V686" s="1214"/>
      <c r="W686" s="1215"/>
      <c r="X686" s="1215"/>
      <c r="Y686" s="1217"/>
    </row>
    <row r="687" spans="1:25" hidden="1">
      <c r="A687" s="123"/>
      <c r="B687" s="789"/>
      <c r="D687" s="124"/>
      <c r="E687" s="124"/>
      <c r="F687" s="124"/>
      <c r="G687" s="124"/>
      <c r="H687" s="124"/>
      <c r="I687" s="124"/>
      <c r="J687" s="124"/>
      <c r="K687" s="124"/>
      <c r="L687" s="124"/>
      <c r="M687" s="124"/>
      <c r="N687" s="124"/>
      <c r="O687" s="124"/>
      <c r="P687" s="124"/>
      <c r="Q687" s="123"/>
      <c r="R687" s="1"/>
      <c r="S687" s="48"/>
      <c r="V687" s="21"/>
      <c r="W687" s="21"/>
      <c r="X687" s="21"/>
      <c r="Y687" s="165"/>
    </row>
    <row r="688" spans="1:25" s="1204" customFormat="1" ht="15" hidden="1" customHeight="1">
      <c r="A688" s="1212"/>
      <c r="B688" s="1205"/>
      <c r="C688" s="1213"/>
      <c r="D688" s="1804" t="str">
        <f>Text!C225</f>
        <v>Verfügt das Gebäude über eine Wärme- und (Kälte)erzeugung, welche auf erneuerbare Energieträgern basiert?</v>
      </c>
      <c r="E688" s="1804"/>
      <c r="F688" s="1804"/>
      <c r="G688" s="1804"/>
      <c r="H688" s="1804"/>
      <c r="I688" s="1804"/>
      <c r="J688" s="1804"/>
      <c r="K688" s="1804"/>
      <c r="L688" s="1804"/>
      <c r="M688" s="1804"/>
      <c r="N688" s="1804"/>
      <c r="O688" s="1804"/>
      <c r="P688" s="1804"/>
      <c r="Q688" s="1"/>
      <c r="R688" s="1"/>
      <c r="S688" s="48"/>
      <c r="T688" s="1"/>
      <c r="U688" s="1"/>
      <c r="V688" s="1215"/>
      <c r="W688" s="1215"/>
      <c r="X688" s="1215"/>
      <c r="Y688" s="1217"/>
    </row>
    <row r="689" spans="1:25" s="1204" customFormat="1" ht="15" hidden="1" customHeight="1">
      <c r="B689" s="1218"/>
      <c r="D689" s="1804"/>
      <c r="E689" s="1804"/>
      <c r="F689" s="1804"/>
      <c r="G689" s="1804"/>
      <c r="H689" s="1804"/>
      <c r="I689" s="1804"/>
      <c r="J689" s="1804"/>
      <c r="K689" s="1804"/>
      <c r="L689" s="1804"/>
      <c r="M689" s="1804"/>
      <c r="N689" s="1804"/>
      <c r="O689" s="1804"/>
      <c r="P689" s="1804"/>
      <c r="Q689" s="1"/>
      <c r="R689" s="1"/>
      <c r="S689" s="9"/>
      <c r="T689" s="1"/>
      <c r="U689" s="1"/>
      <c r="V689" s="1214"/>
      <c r="W689" s="1215"/>
      <c r="X689" s="1215"/>
      <c r="Y689" s="1217"/>
    </row>
    <row r="690" spans="1:25" hidden="1">
      <c r="A690" s="123"/>
      <c r="B690" s="789"/>
      <c r="C690" s="3"/>
      <c r="D690" s="124"/>
      <c r="E690" s="124"/>
      <c r="F690" s="124"/>
      <c r="G690" s="124"/>
      <c r="H690" s="124"/>
      <c r="I690" s="124"/>
      <c r="J690" s="124"/>
      <c r="K690" s="124"/>
      <c r="L690" s="124"/>
      <c r="M690" s="124"/>
      <c r="N690" s="124"/>
      <c r="O690" s="124"/>
      <c r="P690" s="124"/>
      <c r="Q690" s="123"/>
      <c r="R690" s="1"/>
      <c r="S690" s="48"/>
      <c r="V690" s="21"/>
      <c r="W690" s="21"/>
      <c r="X690" s="21"/>
      <c r="Y690" s="165"/>
    </row>
    <row r="691" spans="1:25" s="1204" customFormat="1" ht="15" hidden="1" customHeight="1">
      <c r="A691" s="1212"/>
      <c r="B691" s="1205"/>
      <c r="C691" s="1213"/>
      <c r="D691" s="1804" t="str">
        <f>Text!C226</f>
        <v>Ist für das Gebäude grösstenteils der Einsatz von energieeffizienten resp. stromsparenden Geräten und Beleuchtungen vorgesehen?</v>
      </c>
      <c r="E691" s="1804"/>
      <c r="F691" s="1804"/>
      <c r="G691" s="1804"/>
      <c r="H691" s="1804"/>
      <c r="I691" s="1804"/>
      <c r="J691" s="1804"/>
      <c r="K691" s="1804"/>
      <c r="L691" s="1804"/>
      <c r="M691" s="1804"/>
      <c r="N691" s="1804"/>
      <c r="O691" s="1804"/>
      <c r="P691" s="1804"/>
      <c r="Q691" s="1"/>
      <c r="R691" s="1"/>
      <c r="S691" s="48"/>
      <c r="T691" s="1"/>
      <c r="U691" s="1"/>
      <c r="V691" s="1215"/>
      <c r="W691" s="1215"/>
      <c r="X691" s="1215"/>
      <c r="Y691" s="1217"/>
    </row>
    <row r="692" spans="1:25" s="1204" customFormat="1" ht="15" hidden="1" customHeight="1">
      <c r="B692" s="1218"/>
      <c r="D692" s="1804"/>
      <c r="E692" s="1804"/>
      <c r="F692" s="1804"/>
      <c r="G692" s="1804"/>
      <c r="H692" s="1804"/>
      <c r="I692" s="1804"/>
      <c r="J692" s="1804"/>
      <c r="K692" s="1804"/>
      <c r="L692" s="1804"/>
      <c r="M692" s="1804"/>
      <c r="N692" s="1804"/>
      <c r="O692" s="1804"/>
      <c r="P692" s="1804"/>
      <c r="Q692" s="1"/>
      <c r="R692" s="1"/>
      <c r="S692" s="9"/>
      <c r="T692" s="1"/>
      <c r="U692" s="1"/>
      <c r="V692" s="1214"/>
      <c r="W692" s="1215"/>
      <c r="X692" s="1215"/>
      <c r="Y692" s="1217"/>
    </row>
    <row r="693" spans="1:25">
      <c r="A693" s="123"/>
      <c r="B693" s="789"/>
      <c r="C693" s="3"/>
      <c r="D693" s="124"/>
      <c r="E693" s="124"/>
      <c r="F693" s="124"/>
      <c r="G693" s="124"/>
      <c r="H693" s="124"/>
      <c r="I693" s="124"/>
      <c r="J693" s="124"/>
      <c r="K693" s="124"/>
      <c r="L693" s="124"/>
      <c r="M693" s="124"/>
      <c r="N693" s="124"/>
      <c r="O693" s="124"/>
      <c r="P693" s="124"/>
      <c r="Q693" s="123"/>
      <c r="R693" s="1"/>
      <c r="S693" s="48"/>
      <c r="V693" s="21"/>
      <c r="W693" s="21"/>
      <c r="X693" s="21"/>
      <c r="Y693" s="165"/>
    </row>
    <row r="694" spans="1:25" s="1204" customFormat="1" ht="15" customHeight="1">
      <c r="A694" s="1212"/>
      <c r="B694" s="1205"/>
      <c r="C694" s="1213"/>
      <c r="D694" s="1804" t="str">
        <f>Text!C227</f>
        <v xml:space="preserve">Liegen die emittierten Treibhausgase für den Betrieb des Bauvorhabens unterhalb von 2.5kg/m2 EBF?	</v>
      </c>
      <c r="E694" s="1804"/>
      <c r="F694" s="1804"/>
      <c r="G694" s="1804"/>
      <c r="H694" s="1804"/>
      <c r="I694" s="1804"/>
      <c r="J694" s="1804"/>
      <c r="K694" s="1804"/>
      <c r="L694" s="1804"/>
      <c r="M694" s="1804"/>
      <c r="N694" s="1804"/>
      <c r="O694" s="1804"/>
      <c r="P694" s="1804"/>
      <c r="Q694" s="1"/>
      <c r="R694" s="1"/>
      <c r="S694" s="48"/>
      <c r="T694" s="1"/>
      <c r="U694" s="1"/>
      <c r="V694" s="1215">
        <f>Text!B227</f>
        <v>312</v>
      </c>
      <c r="W694" s="1215"/>
      <c r="X694" s="1215"/>
      <c r="Y694" s="1217"/>
    </row>
    <row r="695" spans="1:25" s="1204" customFormat="1" ht="15" customHeight="1">
      <c r="B695" s="1218"/>
      <c r="D695" s="1804"/>
      <c r="E695" s="1804"/>
      <c r="F695" s="1804"/>
      <c r="G695" s="1804"/>
      <c r="H695" s="1804"/>
      <c r="I695" s="1804"/>
      <c r="J695" s="1804"/>
      <c r="K695" s="1804"/>
      <c r="L695" s="1804"/>
      <c r="M695" s="1804"/>
      <c r="N695" s="1804"/>
      <c r="O695" s="1804"/>
      <c r="P695" s="1804"/>
      <c r="Q695" s="1"/>
      <c r="R695" s="1"/>
      <c r="S695" s="9"/>
      <c r="T695" s="1"/>
      <c r="U695" s="995">
        <v>0</v>
      </c>
      <c r="V695" s="1214"/>
      <c r="W695" s="1215"/>
      <c r="X695" s="1215"/>
      <c r="Y695" s="1217"/>
    </row>
    <row r="696" spans="1:25" hidden="1">
      <c r="A696" s="123"/>
      <c r="B696" s="789"/>
      <c r="C696" s="3"/>
      <c r="D696" s="124"/>
      <c r="E696" s="124"/>
      <c r="F696" s="124"/>
      <c r="G696" s="124"/>
      <c r="H696" s="124"/>
      <c r="I696" s="124"/>
      <c r="J696" s="124"/>
      <c r="K696" s="124"/>
      <c r="L696" s="124"/>
      <c r="M696" s="124"/>
      <c r="N696" s="124"/>
      <c r="O696" s="124"/>
      <c r="P696" s="125"/>
      <c r="S696" s="92"/>
      <c r="V696" s="21"/>
      <c r="W696" s="228"/>
      <c r="X696" s="228"/>
      <c r="Y696" s="165"/>
    </row>
    <row r="697" spans="1:25" s="1204" customFormat="1" ht="15" hidden="1" customHeight="1">
      <c r="A697" s="1212"/>
      <c r="B697" s="1205"/>
      <c r="C697" s="1213"/>
      <c r="D697" s="1804" t="str">
        <f>Text!C228</f>
        <v>Weist das Gebäude eine hohe Kompaktheit auf, bzw. ist das Verhältnis zwischen der Gebäudehüllenfläche zur Geschossfläche besonders tief?</v>
      </c>
      <c r="E697" s="1804"/>
      <c r="F697" s="1804"/>
      <c r="G697" s="1804"/>
      <c r="H697" s="1804"/>
      <c r="I697" s="1804"/>
      <c r="J697" s="1804"/>
      <c r="K697" s="1804"/>
      <c r="L697" s="1804"/>
      <c r="M697" s="1804"/>
      <c r="N697" s="1804"/>
      <c r="O697" s="1804"/>
      <c r="P697" s="1804"/>
      <c r="Q697" s="1"/>
      <c r="R697" s="1"/>
      <c r="S697" s="48"/>
      <c r="T697" s="1"/>
      <c r="U697" s="1"/>
      <c r="V697" s="1215"/>
      <c r="W697" s="1215"/>
      <c r="X697" s="1215"/>
      <c r="Y697" s="1217"/>
    </row>
    <row r="698" spans="1:25" s="1204" customFormat="1" ht="15" hidden="1" customHeight="1">
      <c r="B698" s="1218"/>
      <c r="D698" s="1804"/>
      <c r="E698" s="1804"/>
      <c r="F698" s="1804"/>
      <c r="G698" s="1804"/>
      <c r="H698" s="1804"/>
      <c r="I698" s="1804"/>
      <c r="J698" s="1804"/>
      <c r="K698" s="1804"/>
      <c r="L698" s="1804"/>
      <c r="M698" s="1804"/>
      <c r="N698" s="1804"/>
      <c r="O698" s="1804"/>
      <c r="P698" s="1804"/>
      <c r="Q698" s="1"/>
      <c r="R698" s="1"/>
      <c r="S698" s="9"/>
      <c r="T698" s="1"/>
      <c r="U698" s="1"/>
      <c r="V698" s="1214"/>
      <c r="W698" s="1215"/>
      <c r="X698" s="1215"/>
      <c r="Y698" s="1217"/>
    </row>
    <row r="699" spans="1:25" ht="15" hidden="1" customHeight="1">
      <c r="A699" s="123"/>
      <c r="B699" s="789"/>
      <c r="C699" s="3"/>
      <c r="D699" s="124"/>
      <c r="E699" s="124"/>
      <c r="F699" s="124"/>
      <c r="G699" s="124"/>
      <c r="H699" s="124"/>
      <c r="I699" s="124"/>
      <c r="J699" s="124"/>
      <c r="K699" s="124"/>
      <c r="L699" s="124"/>
      <c r="M699" s="124"/>
      <c r="N699" s="124"/>
      <c r="O699" s="124"/>
      <c r="P699" s="125"/>
      <c r="S699" s="92"/>
      <c r="V699" s="21"/>
      <c r="W699" s="228"/>
      <c r="X699" s="228"/>
      <c r="Y699" s="165"/>
    </row>
    <row r="700" spans="1:25" s="1204" customFormat="1" ht="15" hidden="1" customHeight="1">
      <c r="A700" s="1212"/>
      <c r="B700" s="1205"/>
      <c r="C700" s="1213"/>
      <c r="D700" s="1804" t="str">
        <f>Text!C229</f>
        <v>Ist die Dämmung besser als die gesetzlichen Vorgaben (z. B. Minergie Standard)?</v>
      </c>
      <c r="E700" s="1804"/>
      <c r="F700" s="1804"/>
      <c r="G700" s="1804"/>
      <c r="H700" s="1804"/>
      <c r="I700" s="1804"/>
      <c r="J700" s="1804"/>
      <c r="K700" s="1804"/>
      <c r="L700" s="1804"/>
      <c r="M700" s="1804"/>
      <c r="N700" s="1804"/>
      <c r="O700" s="1804"/>
      <c r="P700" s="1804"/>
      <c r="Q700" s="1"/>
      <c r="R700" s="1"/>
      <c r="S700" s="48"/>
      <c r="T700" s="1"/>
      <c r="U700" s="1"/>
      <c r="V700" s="1215"/>
      <c r="W700" s="1215"/>
      <c r="X700" s="1215"/>
      <c r="Y700" s="1217"/>
    </row>
    <row r="701" spans="1:25" s="1204" customFormat="1" ht="15" hidden="1" customHeight="1">
      <c r="B701" s="1218"/>
      <c r="D701" s="1804"/>
      <c r="E701" s="1804"/>
      <c r="F701" s="1804"/>
      <c r="G701" s="1804"/>
      <c r="H701" s="1804"/>
      <c r="I701" s="1804"/>
      <c r="J701" s="1804"/>
      <c r="K701" s="1804"/>
      <c r="L701" s="1804"/>
      <c r="M701" s="1804"/>
      <c r="N701" s="1804"/>
      <c r="O701" s="1804"/>
      <c r="P701" s="1804"/>
      <c r="Q701" s="1"/>
      <c r="R701" s="1"/>
      <c r="S701" s="9"/>
      <c r="T701" s="1"/>
      <c r="U701" s="1"/>
      <c r="V701" s="1214"/>
      <c r="W701" s="1215"/>
      <c r="X701" s="1215"/>
      <c r="Y701" s="1217"/>
    </row>
    <row r="702" spans="1:25" ht="15" hidden="1" customHeight="1">
      <c r="A702" s="123"/>
      <c r="B702" s="789"/>
      <c r="D702" s="124"/>
      <c r="E702" s="124"/>
      <c r="F702" s="124"/>
      <c r="G702" s="124"/>
      <c r="H702" s="124"/>
      <c r="I702" s="124"/>
      <c r="J702" s="124"/>
      <c r="K702" s="124"/>
      <c r="L702" s="124"/>
      <c r="M702" s="124"/>
      <c r="N702" s="124"/>
      <c r="O702" s="124"/>
      <c r="P702" s="125"/>
      <c r="S702" s="92"/>
      <c r="V702" s="21"/>
      <c r="W702" s="228"/>
      <c r="X702" s="228"/>
      <c r="Y702" s="165"/>
    </row>
    <row r="703" spans="1:25" s="1204" customFormat="1" ht="15" hidden="1" customHeight="1">
      <c r="A703" s="1212"/>
      <c r="B703" s="1205"/>
      <c r="C703" s="1213"/>
      <c r="D703" s="1804" t="str">
        <f>Text!C230</f>
        <v xml:space="preserve">Ist die belegbare Dachfläche vollständig mit PV-Modulen belegt? </v>
      </c>
      <c r="E703" s="1804"/>
      <c r="F703" s="1804"/>
      <c r="G703" s="1804"/>
      <c r="H703" s="1804"/>
      <c r="I703" s="1804"/>
      <c r="J703" s="1804"/>
      <c r="K703" s="1804"/>
      <c r="L703" s="1804"/>
      <c r="M703" s="1804"/>
      <c r="N703" s="1804"/>
      <c r="O703" s="1804"/>
      <c r="P703" s="1804"/>
      <c r="Q703" s="1"/>
      <c r="R703" s="1"/>
      <c r="S703" s="48"/>
      <c r="T703" s="1"/>
      <c r="U703" s="1"/>
      <c r="V703" s="1215"/>
      <c r="W703" s="1215"/>
      <c r="X703" s="1215"/>
      <c r="Y703" s="1217"/>
    </row>
    <row r="704" spans="1:25" s="1204" customFormat="1" ht="15" hidden="1" customHeight="1">
      <c r="B704" s="1218"/>
      <c r="D704" s="1804"/>
      <c r="E704" s="1804"/>
      <c r="F704" s="1804"/>
      <c r="G704" s="1804"/>
      <c r="H704" s="1804"/>
      <c r="I704" s="1804"/>
      <c r="J704" s="1804"/>
      <c r="K704" s="1804"/>
      <c r="L704" s="1804"/>
      <c r="M704" s="1804"/>
      <c r="N704" s="1804"/>
      <c r="O704" s="1804"/>
      <c r="P704" s="1804"/>
      <c r="Q704" s="1"/>
      <c r="R704" s="1"/>
      <c r="S704" s="9"/>
      <c r="T704" s="1"/>
      <c r="U704" s="1"/>
      <c r="V704" s="1214"/>
      <c r="W704" s="1215"/>
      <c r="X704" s="1215"/>
      <c r="Y704" s="1217"/>
    </row>
    <row r="705" spans="1:25" hidden="1">
      <c r="A705" s="123"/>
      <c r="B705" s="789"/>
      <c r="D705" s="124"/>
      <c r="E705" s="124"/>
      <c r="F705" s="124"/>
      <c r="G705" s="124"/>
      <c r="H705" s="124"/>
      <c r="I705" s="124"/>
      <c r="J705" s="124"/>
      <c r="K705" s="124"/>
      <c r="L705" s="124"/>
      <c r="M705" s="124"/>
      <c r="N705" s="124"/>
      <c r="O705" s="124"/>
      <c r="P705" s="124"/>
      <c r="Q705" s="123"/>
      <c r="R705" s="1"/>
      <c r="S705" s="48"/>
      <c r="V705" s="21"/>
      <c r="W705" s="21"/>
      <c r="X705" s="21"/>
      <c r="Y705" s="165"/>
    </row>
    <row r="706" spans="1:25" s="1204" customFormat="1" ht="15" hidden="1" customHeight="1">
      <c r="A706" s="1212"/>
      <c r="B706" s="1205"/>
      <c r="C706" s="1213"/>
      <c r="D706" s="1804" t="str">
        <f>Text!C231</f>
        <v>Stammt der zum Gebäude gelieferte Strom nachweislich aus erneuerbaren Quellen?</v>
      </c>
      <c r="E706" s="1804"/>
      <c r="F706" s="1804"/>
      <c r="G706" s="1804"/>
      <c r="H706" s="1804"/>
      <c r="I706" s="1804"/>
      <c r="J706" s="1804"/>
      <c r="K706" s="1804"/>
      <c r="L706" s="1804"/>
      <c r="M706" s="1804"/>
      <c r="N706" s="1804"/>
      <c r="O706" s="1804"/>
      <c r="P706" s="1804"/>
      <c r="Q706" s="1"/>
      <c r="R706" s="1"/>
      <c r="S706" s="48"/>
      <c r="T706" s="1"/>
      <c r="U706" s="1"/>
      <c r="V706" s="1215"/>
      <c r="W706" s="1215"/>
      <c r="X706" s="1215"/>
      <c r="Y706" s="1217"/>
    </row>
    <row r="707" spans="1:25" s="1204" customFormat="1" ht="15" hidden="1" customHeight="1">
      <c r="B707" s="1218"/>
      <c r="D707" s="1804"/>
      <c r="E707" s="1804"/>
      <c r="F707" s="1804"/>
      <c r="G707" s="1804"/>
      <c r="H707" s="1804"/>
      <c r="I707" s="1804"/>
      <c r="J707" s="1804"/>
      <c r="K707" s="1804"/>
      <c r="L707" s="1804"/>
      <c r="M707" s="1804"/>
      <c r="N707" s="1804"/>
      <c r="O707" s="1804"/>
      <c r="P707" s="1804"/>
      <c r="Q707" s="1"/>
      <c r="R707" s="1"/>
      <c r="S707" s="9"/>
      <c r="T707" s="1"/>
      <c r="U707" s="1"/>
      <c r="V707" s="1214"/>
      <c r="W707" s="1215"/>
      <c r="X707" s="1215"/>
      <c r="Y707" s="1217"/>
    </row>
    <row r="708" spans="1:25" hidden="1">
      <c r="A708" s="123"/>
      <c r="B708" s="789"/>
      <c r="C708" s="3"/>
      <c r="D708" s="124"/>
      <c r="E708" s="124"/>
      <c r="F708" s="124"/>
      <c r="G708" s="124"/>
      <c r="H708" s="124"/>
      <c r="I708" s="124"/>
      <c r="J708" s="124"/>
      <c r="K708" s="124"/>
      <c r="L708" s="124"/>
      <c r="M708" s="124"/>
      <c r="N708" s="124"/>
      <c r="O708" s="124"/>
      <c r="P708" s="124"/>
      <c r="Q708" s="123"/>
      <c r="R708" s="1"/>
      <c r="S708" s="48"/>
      <c r="V708" s="21"/>
      <c r="W708" s="21"/>
      <c r="X708" s="21"/>
      <c r="Y708" s="165"/>
    </row>
    <row r="709" spans="1:25" s="1204" customFormat="1" ht="15" hidden="1" customHeight="1">
      <c r="A709" s="1212"/>
      <c r="B709" s="1205"/>
      <c r="C709" s="1213"/>
      <c r="D709" s="1804" t="str">
        <f>Text!C232</f>
        <v>Werden zur Deckung des Wärmebedarfs fossile Energieträger vermieden, auch zur Deckung von Spitzenlasten oder als Anteil der Fernwärmeerzeugung?</v>
      </c>
      <c r="E709" s="1804"/>
      <c r="F709" s="1804"/>
      <c r="G709" s="1804"/>
      <c r="H709" s="1804"/>
      <c r="I709" s="1804"/>
      <c r="J709" s="1804"/>
      <c r="K709" s="1804"/>
      <c r="L709" s="1804"/>
      <c r="M709" s="1804"/>
      <c r="N709" s="1804"/>
      <c r="O709" s="1804"/>
      <c r="P709" s="1804"/>
      <c r="Q709" s="1"/>
      <c r="R709" s="1"/>
      <c r="S709" s="48"/>
      <c r="T709" s="1"/>
      <c r="U709" s="1"/>
      <c r="V709" s="1215"/>
      <c r="W709" s="1215"/>
      <c r="X709" s="1215"/>
      <c r="Y709" s="1217"/>
    </row>
    <row r="710" spans="1:25" s="1204" customFormat="1" ht="15" hidden="1" customHeight="1">
      <c r="B710" s="1218"/>
      <c r="D710" s="1804"/>
      <c r="E710" s="1804"/>
      <c r="F710" s="1804"/>
      <c r="G710" s="1804"/>
      <c r="H710" s="1804"/>
      <c r="I710" s="1804"/>
      <c r="J710" s="1804"/>
      <c r="K710" s="1804"/>
      <c r="L710" s="1804"/>
      <c r="M710" s="1804"/>
      <c r="N710" s="1804"/>
      <c r="O710" s="1804"/>
      <c r="P710" s="1804"/>
      <c r="Q710" s="1"/>
      <c r="R710" s="1"/>
      <c r="S710" s="9"/>
      <c r="T710" s="1"/>
      <c r="U710" s="1"/>
      <c r="V710" s="1214"/>
      <c r="W710" s="1215"/>
      <c r="X710" s="1215"/>
      <c r="Y710" s="1217"/>
    </row>
    <row r="711" spans="1:25" customFormat="1">
      <c r="A711" s="797"/>
      <c r="B711" s="992"/>
      <c r="C711" s="796"/>
      <c r="D711" s="993"/>
      <c r="E711" s="993"/>
      <c r="F711" s="993"/>
      <c r="G711" s="993"/>
      <c r="H711" s="993"/>
      <c r="I711" s="993"/>
      <c r="J711" s="993"/>
      <c r="K711" s="993"/>
      <c r="L711" s="993"/>
      <c r="M711" s="993"/>
      <c r="N711" s="993"/>
      <c r="O711" s="993"/>
      <c r="P711" s="993"/>
      <c r="Q711" s="450"/>
      <c r="S711" s="48"/>
      <c r="V711" s="979"/>
      <c r="W711" s="979"/>
      <c r="X711" s="979"/>
      <c r="Y711" s="980"/>
    </row>
    <row r="712" spans="1:25" s="1204" customFormat="1" ht="29.15" customHeight="1">
      <c r="A712" s="1212"/>
      <c r="B712" s="1205"/>
      <c r="C712" s="1213"/>
      <c r="D712" s="1804" t="str">
        <f>Text!C233</f>
        <v>Liegen bei einer Berechnung der Betriebsenergie mit verfügbaren SIA-Klimadaten der Zukunft die nicht erneuerbare Energie bzw. die Treibhausgas für den Betrieb des Bauvorhabens über dessen gesamte Lebensdauer unterhalb des Richtwerts ''Betrieb'' nach MB SIA 2040?</v>
      </c>
      <c r="E712" s="1804"/>
      <c r="F712" s="1804"/>
      <c r="G712" s="1804"/>
      <c r="H712" s="1804"/>
      <c r="I712" s="1804"/>
      <c r="J712" s="1804"/>
      <c r="K712" s="1804"/>
      <c r="L712" s="1804"/>
      <c r="M712" s="1804"/>
      <c r="N712" s="1804"/>
      <c r="O712" s="1804"/>
      <c r="P712" s="1804"/>
      <c r="Q712" s="124"/>
      <c r="R712" s="1"/>
      <c r="S712" s="48"/>
      <c r="T712" s="1"/>
      <c r="U712" s="1"/>
      <c r="V712" s="1215" t="str">
        <f>Text!B233</f>
        <v>K312/322</v>
      </c>
      <c r="W712" s="1215"/>
      <c r="X712" s="1215"/>
      <c r="Y712" s="1217" t="str">
        <f>Text!C27</f>
        <v>Info [2] &amp; [8]</v>
      </c>
    </row>
    <row r="713" spans="1:25" s="1204" customFormat="1">
      <c r="A713" s="1212"/>
      <c r="B713" s="1205"/>
      <c r="C713" s="1206"/>
      <c r="D713" s="1810" t="str">
        <f>Text!C621</f>
        <v>SIA 2040:2017 «SIA Effizienzpfad Energie»</v>
      </c>
      <c r="E713" s="1810"/>
      <c r="F713" s="1810"/>
      <c r="G713" s="1810"/>
      <c r="H713" s="1810"/>
      <c r="I713" s="1810"/>
      <c r="J713" s="1810"/>
      <c r="K713" s="1810"/>
      <c r="L713" s="1810"/>
      <c r="M713" s="1810"/>
      <c r="N713" s="1810"/>
      <c r="O713" s="1810"/>
      <c r="P713" s="1810"/>
      <c r="Q713" s="124"/>
      <c r="R713" s="1"/>
      <c r="S713" s="9"/>
      <c r="T713" s="1"/>
      <c r="U713" s="1"/>
      <c r="V713" s="1215"/>
      <c r="W713" s="1215"/>
      <c r="X713" s="1215"/>
      <c r="Y713" s="1217"/>
    </row>
    <row r="714" spans="1:25" hidden="1">
      <c r="A714" s="123"/>
      <c r="B714" s="789"/>
      <c r="C714" s="3"/>
      <c r="D714" s="124"/>
      <c r="E714" s="124"/>
      <c r="F714" s="124"/>
      <c r="G714" s="124"/>
      <c r="H714" s="124"/>
      <c r="I714" s="124"/>
      <c r="J714" s="124"/>
      <c r="K714" s="124"/>
      <c r="L714" s="124"/>
      <c r="M714" s="124"/>
      <c r="N714" s="124"/>
      <c r="O714" s="124"/>
      <c r="P714" s="124"/>
      <c r="Q714" s="1"/>
      <c r="R714" s="1"/>
      <c r="S714" s="48"/>
      <c r="V714" s="21"/>
      <c r="W714" s="21"/>
      <c r="X714" s="21"/>
      <c r="Y714" s="165"/>
    </row>
    <row r="715" spans="1:25" s="1204" customFormat="1" ht="15" hidden="1" customHeight="1">
      <c r="A715" s="1212"/>
      <c r="B715" s="1205"/>
      <c r="C715" s="1213"/>
      <c r="D715" s="1804" t="str">
        <f>Text!C234</f>
        <v>Wird eine Berechnung der Betriebsenergie respektive der emittierten Treibhausgase für den Betrieb, insbesondere für den Kühlbedarf, auch mit verfügbaren SIA-Klimadaten der Zukunft durchgeführt?</v>
      </c>
      <c r="E715" s="1804"/>
      <c r="F715" s="1804"/>
      <c r="G715" s="1804"/>
      <c r="H715" s="1804"/>
      <c r="I715" s="1804"/>
      <c r="J715" s="1804"/>
      <c r="K715" s="1804"/>
      <c r="L715" s="1804"/>
      <c r="M715" s="1804"/>
      <c r="N715" s="1804"/>
      <c r="O715" s="1804"/>
      <c r="P715" s="1804"/>
      <c r="Q715" s="1"/>
      <c r="R715" s="1"/>
      <c r="S715" s="48"/>
      <c r="T715" s="1"/>
      <c r="U715" s="1"/>
      <c r="V715" s="1215"/>
      <c r="W715" s="1215"/>
      <c r="X715" s="1215"/>
      <c r="Y715" s="1217" t="str">
        <f>Text!C17</f>
        <v>Info [8]</v>
      </c>
    </row>
    <row r="716" spans="1:25" s="1204" customFormat="1" ht="15" hidden="1" customHeight="1">
      <c r="B716" s="1218"/>
      <c r="D716" s="1804"/>
      <c r="E716" s="1804"/>
      <c r="F716" s="1804"/>
      <c r="G716" s="1804"/>
      <c r="H716" s="1804"/>
      <c r="I716" s="1804"/>
      <c r="J716" s="1804"/>
      <c r="K716" s="1804"/>
      <c r="L716" s="1804"/>
      <c r="M716" s="1804"/>
      <c r="N716" s="1804"/>
      <c r="O716" s="1804"/>
      <c r="P716" s="1804"/>
      <c r="Q716" s="1"/>
      <c r="R716" s="1"/>
      <c r="S716" s="9"/>
      <c r="T716" s="1"/>
      <c r="U716" s="1"/>
      <c r="V716" s="1214"/>
      <c r="W716" s="1215"/>
      <c r="X716" s="1215"/>
      <c r="Y716" s="1217"/>
    </row>
    <row r="717" spans="1:25" ht="15" hidden="1" customHeight="1">
      <c r="A717" s="123"/>
      <c r="B717" s="789"/>
      <c r="D717" s="124"/>
      <c r="E717" s="124"/>
      <c r="F717" s="124"/>
      <c r="G717" s="124"/>
      <c r="H717" s="124"/>
      <c r="I717" s="124"/>
      <c r="J717" s="124"/>
      <c r="K717" s="124"/>
      <c r="L717" s="124"/>
      <c r="M717" s="124"/>
      <c r="N717" s="124"/>
      <c r="O717" s="124"/>
      <c r="P717" s="124"/>
      <c r="Q717" s="1"/>
      <c r="R717" s="1"/>
      <c r="S717" s="48"/>
      <c r="V717" s="21"/>
      <c r="W717" s="21"/>
      <c r="X717" s="21"/>
      <c r="Y717" s="165"/>
    </row>
    <row r="718" spans="1:25" s="1204" customFormat="1" ht="15" hidden="1" customHeight="1">
      <c r="A718" s="1212"/>
      <c r="B718" s="1205"/>
      <c r="C718" s="1213"/>
      <c r="D718" s="1804" t="str">
        <f>Text!C235</f>
        <v>Liegen die nicht erneuerbare Energie bzw. die Treibhausgase für den Betrieb des Bauvorhabens unter Anwendung der verfügbaren SIA-Klimadaten der Zukunft für die Periode ''2035'', Szenario RCP 8.5, unterhalb des Richtwerts «Betrieb» nach MB SIA 2040?</v>
      </c>
      <c r="E718" s="1804"/>
      <c r="F718" s="1804"/>
      <c r="G718" s="1804"/>
      <c r="H718" s="1804"/>
      <c r="I718" s="1804"/>
      <c r="J718" s="1804"/>
      <c r="K718" s="1804"/>
      <c r="L718" s="1804"/>
      <c r="M718" s="1804"/>
      <c r="N718" s="1804"/>
      <c r="O718" s="1804"/>
      <c r="P718" s="1804"/>
      <c r="Q718" s="1"/>
      <c r="R718" s="1"/>
      <c r="S718" s="9"/>
      <c r="T718" s="1"/>
      <c r="U718" s="1"/>
      <c r="V718" s="1215"/>
      <c r="W718" s="1215"/>
      <c r="X718" s="1215"/>
      <c r="Y718" s="1217" t="str">
        <f>Text!C27</f>
        <v>Info [2] &amp; [8]</v>
      </c>
    </row>
    <row r="719" spans="1:25" s="1204" customFormat="1" ht="15" hidden="1" customHeight="1">
      <c r="B719" s="1218"/>
      <c r="D719" s="1804"/>
      <c r="E719" s="1804"/>
      <c r="F719" s="1804"/>
      <c r="G719" s="1804"/>
      <c r="H719" s="1804"/>
      <c r="I719" s="1804"/>
      <c r="J719" s="1804"/>
      <c r="K719" s="1804"/>
      <c r="L719" s="1804"/>
      <c r="M719" s="1804"/>
      <c r="N719" s="1804"/>
      <c r="O719" s="1804"/>
      <c r="P719" s="1804"/>
      <c r="Q719" s="1"/>
      <c r="R719" s="1"/>
      <c r="S719" s="48"/>
      <c r="T719" s="1"/>
      <c r="U719" s="1"/>
      <c r="V719" s="1214"/>
      <c r="W719" s="1215"/>
      <c r="X719" s="1215"/>
      <c r="Y719" s="1217"/>
    </row>
    <row r="720" spans="1:25" ht="15" hidden="1" customHeight="1">
      <c r="B720" s="789"/>
      <c r="C720" s="3"/>
      <c r="D720" s="124"/>
      <c r="E720" s="124"/>
      <c r="F720" s="124"/>
      <c r="G720" s="124"/>
      <c r="H720" s="124"/>
      <c r="I720" s="124"/>
      <c r="J720" s="124"/>
      <c r="K720" s="124"/>
      <c r="L720" s="124"/>
      <c r="M720" s="124"/>
      <c r="N720" s="124"/>
      <c r="O720" s="124"/>
      <c r="P720" s="124"/>
      <c r="Q720" s="1"/>
      <c r="R720" s="1"/>
      <c r="S720" s="9"/>
      <c r="V720" s="21"/>
      <c r="W720" s="21"/>
      <c r="X720" s="21"/>
      <c r="Y720" s="165"/>
    </row>
    <row r="721" spans="1:25" s="1204" customFormat="1" ht="15" hidden="1" customHeight="1">
      <c r="A721" s="1212"/>
      <c r="B721" s="1205"/>
      <c r="C721" s="1213"/>
      <c r="D721" s="1804" t="str">
        <f>Text!C236</f>
        <v>Ist beim Bauvorhaben eine Nachrüstbarkeit mit einer energetisch effizienten Kühlung bzw. Belüftung zur Einhaltung der Richtwerte ''Betrieb'' nach MB SIA 2040 unter Anwendung der SIA-Klimadaten der Zukunft für die Periode ''2060'', Szenario RCP 8.5, gegeben?</v>
      </c>
      <c r="E721" s="1804"/>
      <c r="F721" s="1804"/>
      <c r="G721" s="1804"/>
      <c r="H721" s="1804"/>
      <c r="I721" s="1804"/>
      <c r="J721" s="1804"/>
      <c r="K721" s="1804"/>
      <c r="L721" s="1804"/>
      <c r="M721" s="1804"/>
      <c r="N721" s="1804"/>
      <c r="O721" s="1804"/>
      <c r="P721" s="1804"/>
      <c r="Q721" s="1"/>
      <c r="R721" s="1"/>
      <c r="S721" s="48"/>
      <c r="T721" s="1"/>
      <c r="U721" s="1"/>
      <c r="V721" s="1215"/>
      <c r="W721" s="1215"/>
      <c r="X721" s="1215"/>
      <c r="Y721" s="1217" t="str">
        <f>Text!C27</f>
        <v>Info [2] &amp; [8]</v>
      </c>
    </row>
    <row r="722" spans="1:25" s="1204" customFormat="1" ht="15" hidden="1" customHeight="1">
      <c r="B722" s="1218"/>
      <c r="D722" s="1804"/>
      <c r="E722" s="1804"/>
      <c r="F722" s="1804"/>
      <c r="G722" s="1804"/>
      <c r="H722" s="1804"/>
      <c r="I722" s="1804"/>
      <c r="J722" s="1804"/>
      <c r="K722" s="1804"/>
      <c r="L722" s="1804"/>
      <c r="M722" s="1804"/>
      <c r="N722" s="1804"/>
      <c r="O722" s="1804"/>
      <c r="P722" s="1804"/>
      <c r="Q722" s="1"/>
      <c r="R722" s="1"/>
      <c r="S722" s="9"/>
      <c r="T722" s="1"/>
      <c r="U722" s="1"/>
      <c r="V722" s="1214"/>
      <c r="W722" s="1215"/>
      <c r="X722" s="1215"/>
      <c r="Y722" s="1217"/>
    </row>
    <row r="723" spans="1:25" ht="15" customHeight="1">
      <c r="B723" s="789"/>
      <c r="D723" s="124"/>
      <c r="E723" s="124"/>
      <c r="F723" s="124"/>
      <c r="G723" s="124"/>
      <c r="H723" s="124"/>
      <c r="I723" s="124"/>
      <c r="J723" s="124"/>
      <c r="K723" s="124"/>
      <c r="L723" s="124"/>
      <c r="M723" s="124"/>
      <c r="N723" s="124"/>
      <c r="O723" s="124"/>
      <c r="P723" s="125"/>
      <c r="S723" s="48"/>
      <c r="V723" s="21"/>
      <c r="W723" s="21"/>
      <c r="X723" s="21"/>
      <c r="Y723" s="165"/>
    </row>
    <row r="724" spans="1:25" s="1204" customFormat="1" ht="29.15" customHeight="1">
      <c r="B724" s="1205"/>
      <c r="C724" s="1213"/>
      <c r="D724" s="1804" t="str">
        <f>Text!C237</f>
        <v>Wird eine Berechnung des Mobilitätsaufwands gemäss Rechenhilfe SIA 2039 vorgenommen und liegen die emittierten Treibhausgase für die gebäudeinduzierte "Mobilität" beim Bauvorhaben unterhalb des entsprechenden Richtwertes des SIA-Effizienzpfad Energie (MB SIA 2040)?</v>
      </c>
      <c r="E724" s="1804"/>
      <c r="F724" s="1804"/>
      <c r="G724" s="1804"/>
      <c r="H724" s="1804"/>
      <c r="I724" s="1804"/>
      <c r="J724" s="1804"/>
      <c r="K724" s="1804"/>
      <c r="L724" s="1804"/>
      <c r="M724" s="1804"/>
      <c r="N724" s="1804"/>
      <c r="O724" s="1804"/>
      <c r="P724" s="1804"/>
      <c r="Q724" s="4"/>
      <c r="R724" s="4"/>
      <c r="S724" s="48"/>
      <c r="T724" s="1"/>
      <c r="U724" s="1"/>
      <c r="V724" s="1215">
        <f>Text!B237</f>
        <v>313</v>
      </c>
      <c r="W724" s="1215"/>
      <c r="X724" s="1215"/>
      <c r="Y724" s="1217" t="str">
        <f>Text!C11</f>
        <v>Info [2]</v>
      </c>
    </row>
    <row r="725" spans="1:25" s="1204" customFormat="1" ht="29.15" customHeight="1">
      <c r="B725" s="1205"/>
      <c r="C725" s="1206"/>
      <c r="D725" s="1810" t="str">
        <f>Text!C622</f>
        <v>SIA 2040:2017 «SIA Effizienzpfad Energie»
Tool zum Merkblatt SIA 2039:2016 «Mobilität – Energiebedarf in Abhängigkeit vom Gebäudestandort»</v>
      </c>
      <c r="E725" s="1810"/>
      <c r="F725" s="1810"/>
      <c r="G725" s="1810"/>
      <c r="H725" s="1810"/>
      <c r="I725" s="1810"/>
      <c r="J725" s="1810"/>
      <c r="K725" s="1810"/>
      <c r="L725" s="1810"/>
      <c r="M725" s="1810"/>
      <c r="N725" s="1810"/>
      <c r="O725" s="1810"/>
      <c r="P725" s="1810"/>
      <c r="Q725" s="1"/>
      <c r="R725" s="1"/>
      <c r="S725" s="9"/>
      <c r="T725" s="1"/>
      <c r="U725" s="995">
        <v>0</v>
      </c>
      <c r="V725" s="1214"/>
      <c r="W725" s="1214"/>
      <c r="X725" s="1214"/>
      <c r="Y725" s="1220"/>
    </row>
    <row r="726" spans="1:25" ht="15" hidden="1" customHeight="1">
      <c r="B726" s="789"/>
      <c r="D726" s="124"/>
      <c r="E726" s="124"/>
      <c r="F726" s="124"/>
      <c r="G726" s="124"/>
      <c r="H726" s="124"/>
      <c r="I726" s="124"/>
      <c r="J726" s="124"/>
      <c r="K726" s="124"/>
      <c r="L726" s="124"/>
      <c r="M726" s="124"/>
      <c r="N726" s="124"/>
      <c r="O726" s="124"/>
      <c r="P726" s="125"/>
      <c r="S726" s="48"/>
      <c r="V726" s="21"/>
      <c r="W726" s="21"/>
      <c r="X726" s="21"/>
      <c r="Y726" s="165"/>
    </row>
    <row r="727" spans="1:25" s="1204" customFormat="1" ht="15" hidden="1" customHeight="1">
      <c r="A727" s="1212"/>
      <c r="B727" s="1205"/>
      <c r="C727" s="1213"/>
      <c r="D727" s="1804" t="str">
        <f>Text!C238</f>
        <v>Weist das Gebäude bzw. das Grundstück ÖV-Güteklasse B oder besser auf?</v>
      </c>
      <c r="E727" s="1804"/>
      <c r="F727" s="1804"/>
      <c r="G727" s="1804"/>
      <c r="H727" s="1804"/>
      <c r="I727" s="1804"/>
      <c r="J727" s="1804"/>
      <c r="K727" s="1804"/>
      <c r="L727" s="1804"/>
      <c r="M727" s="1804"/>
      <c r="N727" s="1804"/>
      <c r="O727" s="1804"/>
      <c r="P727" s="1804"/>
      <c r="Q727" s="1"/>
      <c r="R727" s="1"/>
      <c r="S727" s="48"/>
      <c r="T727" s="1"/>
      <c r="U727" s="1"/>
      <c r="V727" s="1215"/>
      <c r="W727" s="1215"/>
      <c r="X727" s="1215"/>
      <c r="Y727" s="1217"/>
    </row>
    <row r="728" spans="1:25" s="1204" customFormat="1" ht="15" hidden="1" customHeight="1">
      <c r="B728" s="1218"/>
      <c r="D728" s="1804"/>
      <c r="E728" s="1804"/>
      <c r="F728" s="1804"/>
      <c r="G728" s="1804"/>
      <c r="H728" s="1804"/>
      <c r="I728" s="1804"/>
      <c r="J728" s="1804"/>
      <c r="K728" s="1804"/>
      <c r="L728" s="1804"/>
      <c r="M728" s="1804"/>
      <c r="N728" s="1804"/>
      <c r="O728" s="1804"/>
      <c r="P728" s="1804"/>
      <c r="Q728" s="1"/>
      <c r="R728" s="1"/>
      <c r="S728" s="9"/>
      <c r="T728" s="1"/>
      <c r="U728" s="1"/>
      <c r="V728" s="1214"/>
      <c r="W728" s="1215"/>
      <c r="X728" s="1215"/>
      <c r="Y728" s="1217"/>
    </row>
    <row r="729" spans="1:25" ht="15" hidden="1" customHeight="1">
      <c r="B729" s="789"/>
      <c r="C729" s="3"/>
      <c r="D729" s="125"/>
      <c r="E729" s="125"/>
      <c r="F729" s="125"/>
      <c r="G729" s="125"/>
      <c r="H729" s="125"/>
      <c r="I729" s="125"/>
      <c r="J729" s="125"/>
      <c r="K729" s="125"/>
      <c r="L729" s="125"/>
      <c r="M729" s="125"/>
      <c r="N729" s="125"/>
      <c r="O729" s="125"/>
      <c r="P729" s="125"/>
      <c r="Q729" s="1"/>
      <c r="R729" s="1"/>
      <c r="S729" s="8"/>
      <c r="V729" s="23"/>
      <c r="W729" s="23"/>
      <c r="X729" s="23"/>
      <c r="Y729" s="187"/>
    </row>
    <row r="730" spans="1:25" s="1204" customFormat="1" ht="15" hidden="1" customHeight="1">
      <c r="A730" s="1212"/>
      <c r="B730" s="1205"/>
      <c r="C730" s="1213"/>
      <c r="D730" s="1804" t="str">
        <f>Text!C239</f>
        <v>Wird die minimale Anzahl Parkplätze in der gesetzlichen Spannweite oder gar eine weiter gehende Reduktion der Anzahl angestrebt (0.3 PP pro Mitarbeitende)?</v>
      </c>
      <c r="E730" s="1804"/>
      <c r="F730" s="1804"/>
      <c r="G730" s="1804"/>
      <c r="H730" s="1804"/>
      <c r="I730" s="1804"/>
      <c r="J730" s="1804"/>
      <c r="K730" s="1804"/>
      <c r="L730" s="1804"/>
      <c r="M730" s="1804"/>
      <c r="N730" s="1804"/>
      <c r="O730" s="1804"/>
      <c r="P730" s="1804"/>
      <c r="Q730" s="1"/>
      <c r="R730" s="1"/>
      <c r="S730" s="48"/>
      <c r="T730" s="1"/>
      <c r="U730" s="1"/>
      <c r="V730" s="1215"/>
      <c r="W730" s="1215"/>
      <c r="X730" s="1215"/>
      <c r="Y730" s="1217"/>
    </row>
    <row r="731" spans="1:25" s="1204" customFormat="1" ht="15" hidden="1" customHeight="1">
      <c r="B731" s="1218"/>
      <c r="D731" s="1804"/>
      <c r="E731" s="1804"/>
      <c r="F731" s="1804"/>
      <c r="G731" s="1804"/>
      <c r="H731" s="1804"/>
      <c r="I731" s="1804"/>
      <c r="J731" s="1804"/>
      <c r="K731" s="1804"/>
      <c r="L731" s="1804"/>
      <c r="M731" s="1804"/>
      <c r="N731" s="1804"/>
      <c r="O731" s="1804"/>
      <c r="P731" s="1804"/>
      <c r="Q731" s="1"/>
      <c r="R731" s="1"/>
      <c r="S731" s="9"/>
      <c r="T731" s="1"/>
      <c r="U731" s="1"/>
      <c r="V731" s="1214"/>
      <c r="W731" s="1215"/>
      <c r="X731" s="1215"/>
      <c r="Y731" s="1217"/>
    </row>
    <row r="732" spans="1:25" hidden="1">
      <c r="A732" s="123"/>
      <c r="B732" s="789"/>
      <c r="C732" s="3"/>
      <c r="D732" s="124"/>
      <c r="E732" s="124"/>
      <c r="F732" s="124"/>
      <c r="G732" s="124"/>
      <c r="H732" s="124"/>
      <c r="I732" s="124"/>
      <c r="J732" s="124"/>
      <c r="K732" s="124"/>
      <c r="L732" s="124"/>
      <c r="M732" s="124"/>
      <c r="N732" s="124"/>
      <c r="O732" s="124"/>
      <c r="P732" s="125"/>
      <c r="S732" s="48"/>
      <c r="V732" s="21"/>
      <c r="W732" s="21"/>
      <c r="X732" s="21"/>
      <c r="Y732" s="165"/>
    </row>
    <row r="733" spans="1:25" s="1204" customFormat="1" ht="15" hidden="1" customHeight="1">
      <c r="A733" s="1212"/>
      <c r="B733" s="1205"/>
      <c r="C733" s="1213"/>
      <c r="D733" s="1804" t="str">
        <f>Text!C240</f>
        <v>Sind in der Nähe Car-Sharing-Angebote vorhanden oder werden welche im Projekt zur Verfügung gestellt werden?</v>
      </c>
      <c r="E733" s="1804"/>
      <c r="F733" s="1804"/>
      <c r="G733" s="1804"/>
      <c r="H733" s="1804"/>
      <c r="I733" s="1804"/>
      <c r="J733" s="1804"/>
      <c r="K733" s="1804"/>
      <c r="L733" s="1804"/>
      <c r="M733" s="1804"/>
      <c r="N733" s="1804"/>
      <c r="O733" s="1804"/>
      <c r="P733" s="1804"/>
      <c r="Q733" s="1"/>
      <c r="R733" s="1"/>
      <c r="S733" s="48"/>
      <c r="T733" s="1"/>
      <c r="U733" s="1"/>
      <c r="V733" s="1215"/>
      <c r="W733" s="1215"/>
      <c r="X733" s="1215"/>
      <c r="Y733" s="1217"/>
    </row>
    <row r="734" spans="1:25" s="1204" customFormat="1" ht="15" hidden="1" customHeight="1">
      <c r="B734" s="1218"/>
      <c r="D734" s="1804"/>
      <c r="E734" s="1804"/>
      <c r="F734" s="1804"/>
      <c r="G734" s="1804"/>
      <c r="H734" s="1804"/>
      <c r="I734" s="1804"/>
      <c r="J734" s="1804"/>
      <c r="K734" s="1804"/>
      <c r="L734" s="1804"/>
      <c r="M734" s="1804"/>
      <c r="N734" s="1804"/>
      <c r="O734" s="1804"/>
      <c r="P734" s="1804"/>
      <c r="Q734" s="1"/>
      <c r="R734" s="1"/>
      <c r="S734" s="9"/>
      <c r="T734" s="1"/>
      <c r="U734" s="1"/>
      <c r="V734" s="1214"/>
      <c r="W734" s="1215"/>
      <c r="X734" s="1215"/>
      <c r="Y734" s="1217"/>
    </row>
    <row r="735" spans="1:25">
      <c r="B735" s="789"/>
      <c r="D735" s="13"/>
      <c r="E735" s="13"/>
      <c r="F735" s="13"/>
      <c r="G735" s="13"/>
      <c r="H735" s="13"/>
      <c r="I735" s="13"/>
      <c r="J735" s="13"/>
      <c r="K735" s="13"/>
      <c r="L735" s="13"/>
      <c r="M735" s="13"/>
      <c r="N735" s="13"/>
      <c r="O735" s="13"/>
      <c r="P735" s="125"/>
      <c r="S735" s="92"/>
      <c r="W735" s="46"/>
      <c r="X735" s="46"/>
      <c r="Y735" s="223"/>
    </row>
    <row r="736" spans="1:25">
      <c r="B736" s="789"/>
      <c r="S736" s="92"/>
      <c r="W736" s="46"/>
      <c r="X736" s="46"/>
      <c r="Y736" s="223"/>
    </row>
    <row r="737" spans="1:25 16384:16384">
      <c r="B737" s="789"/>
      <c r="S737" s="92"/>
      <c r="W737" s="46"/>
      <c r="X737" s="46"/>
      <c r="Y737" s="223"/>
    </row>
    <row r="738" spans="1:25 16384:16384">
      <c r="B738" s="789"/>
      <c r="S738" s="92"/>
      <c r="W738" s="46"/>
      <c r="X738" s="46"/>
      <c r="Y738" s="223"/>
    </row>
    <row r="739" spans="1:25 16384:16384" s="1204" customFormat="1">
      <c r="B739" s="1205"/>
      <c r="C739" s="1206"/>
      <c r="P739" s="1206"/>
      <c r="Q739" s="1206"/>
      <c r="R739" s="1206"/>
      <c r="S739" s="1207"/>
      <c r="V739" s="1208"/>
      <c r="W739" s="1209"/>
      <c r="X739" s="1209"/>
      <c r="Y739" s="1210"/>
    </row>
    <row r="740" spans="1:25 16384:16384" s="1204" customFormat="1" ht="18.5">
      <c r="B740" s="1205"/>
      <c r="C740" s="1206"/>
      <c r="I740" s="1809" t="str">
        <f>Text!C241</f>
        <v>Ressourcenschonung und Umweltschutz</v>
      </c>
      <c r="J740" s="1809"/>
      <c r="K740" s="1809"/>
      <c r="L740" s="1809"/>
      <c r="M740" s="1809"/>
      <c r="N740" s="1809"/>
      <c r="O740" s="1809"/>
      <c r="P740" s="1809"/>
      <c r="Q740" s="1206"/>
      <c r="R740" s="1206"/>
      <c r="S740" s="1207"/>
      <c r="V740" s="1208"/>
      <c r="W740" s="1209"/>
      <c r="X740" s="1209"/>
      <c r="Y740" s="1210"/>
    </row>
    <row r="741" spans="1:25 16384:16384" s="1204" customFormat="1" ht="15" customHeight="1">
      <c r="B741" s="1205"/>
      <c r="C741" s="1206"/>
      <c r="I741" s="1211"/>
      <c r="J741" s="1211"/>
      <c r="K741" s="1211"/>
      <c r="L741" s="1211"/>
      <c r="M741" s="1211"/>
      <c r="N741" s="1211"/>
      <c r="O741" s="1211"/>
      <c r="P741" s="1211"/>
      <c r="Q741" s="1206"/>
      <c r="R741" s="1206"/>
      <c r="S741" s="1207"/>
      <c r="V741" s="1208"/>
      <c r="W741" s="1209"/>
      <c r="X741" s="1209"/>
      <c r="Y741" s="1210"/>
    </row>
    <row r="742" spans="1:25 16384:16384">
      <c r="B742" s="789"/>
      <c r="S742" s="92"/>
      <c r="W742" s="46"/>
      <c r="X742" s="46"/>
      <c r="Y742" s="223"/>
    </row>
    <row r="743" spans="1:25 16384:16384" s="1204" customFormat="1" ht="29.15" customHeight="1">
      <c r="A743" s="1219"/>
      <c r="B743" s="1205" t="s">
        <v>5</v>
      </c>
      <c r="C743" s="1213"/>
      <c r="D743" s="1804" t="str">
        <f>Text!C242</f>
        <v>Werden Massnahmen zur Minimierung der Umweltbelastung durch die Baustelle und der Bauprozesse eingeleitet? (z. B. gemäss SIA 431, BAFU-Richtlinien, eco-BKP)</v>
      </c>
      <c r="E743" s="1804"/>
      <c r="F743" s="1804"/>
      <c r="G743" s="1804"/>
      <c r="H743" s="1804"/>
      <c r="I743" s="1804"/>
      <c r="J743" s="1804"/>
      <c r="K743" s="1804"/>
      <c r="L743" s="1804"/>
      <c r="M743" s="1804"/>
      <c r="N743" s="1804"/>
      <c r="O743" s="1804"/>
      <c r="P743" s="1804"/>
      <c r="Q743" s="4"/>
      <c r="R743" s="4"/>
      <c r="S743" s="92"/>
      <c r="T743" s="1"/>
      <c r="U743" s="1"/>
      <c r="V743" s="1214">
        <f>Text!B242</f>
        <v>331</v>
      </c>
      <c r="W743" s="1215"/>
      <c r="X743" s="1215"/>
      <c r="Y743" s="1220" t="str">
        <f>Text!C$23</f>
        <v>Info [2] &amp; [4]</v>
      </c>
      <c r="XFD743" s="1219"/>
    </row>
    <row r="744" spans="1:25 16384:16384" s="1204" customFormat="1" ht="15" customHeight="1">
      <c r="B744" s="1218"/>
      <c r="D744" s="1810" t="str">
        <f>Text!C623</f>
        <v>SIA 431:2022 «Entwässerung von Baustellen»</v>
      </c>
      <c r="E744" s="1810"/>
      <c r="F744" s="1810"/>
      <c r="G744" s="1810"/>
      <c r="H744" s="1810"/>
      <c r="I744" s="1810"/>
      <c r="J744" s="1810"/>
      <c r="K744" s="1810"/>
      <c r="L744" s="1810"/>
      <c r="M744" s="1810"/>
      <c r="N744" s="1810"/>
      <c r="O744" s="1810"/>
      <c r="P744" s="1810"/>
      <c r="Q744" s="1"/>
      <c r="R744" s="1"/>
      <c r="S744" s="9"/>
      <c r="T744" s="1"/>
      <c r="U744" s="1"/>
      <c r="Y744" s="1217"/>
    </row>
    <row r="745" spans="1:25 16384:16384" ht="15" hidden="1" customHeight="1">
      <c r="B745" s="789"/>
      <c r="C745" s="3"/>
      <c r="D745" s="124"/>
      <c r="E745" s="124"/>
      <c r="F745" s="124"/>
      <c r="G745" s="124"/>
      <c r="H745" s="124"/>
      <c r="I745" s="124"/>
      <c r="J745" s="124"/>
      <c r="K745" s="124"/>
      <c r="L745" s="124"/>
      <c r="M745" s="124"/>
      <c r="N745" s="124"/>
      <c r="O745" s="124"/>
      <c r="P745" s="124"/>
      <c r="Q745" s="1"/>
      <c r="R745" s="1"/>
      <c r="S745" s="48"/>
      <c r="V745" s="21"/>
      <c r="W745" s="21"/>
      <c r="X745" s="21"/>
      <c r="Y745" s="165"/>
    </row>
    <row r="746" spans="1:25 16384:16384" s="1204" customFormat="1" ht="15" hidden="1" customHeight="1">
      <c r="A746" s="1212"/>
      <c r="B746" s="1205"/>
      <c r="C746" s="1213"/>
      <c r="D746" s="1804" t="str">
        <f>Text!C243</f>
        <v>Wird ein Konzept zur Wiederverwendung, zum Recycling oder zur Entsorgung der vorhandenen oder einzusetzenden Baumaterialien und Abfälle erstellt?</v>
      </c>
      <c r="E746" s="1804"/>
      <c r="F746" s="1804"/>
      <c r="G746" s="1804"/>
      <c r="H746" s="1804"/>
      <c r="I746" s="1804"/>
      <c r="J746" s="1804"/>
      <c r="K746" s="1804"/>
      <c r="L746" s="1804"/>
      <c r="M746" s="1804"/>
      <c r="N746" s="1804"/>
      <c r="O746" s="1804"/>
      <c r="P746" s="1804"/>
      <c r="Q746" s="1"/>
      <c r="R746" s="1"/>
      <c r="S746" s="48"/>
      <c r="T746" s="1"/>
      <c r="U746" s="1"/>
      <c r="V746" s="1215"/>
      <c r="W746" s="1215"/>
      <c r="X746" s="1215"/>
      <c r="Y746" s="1217"/>
    </row>
    <row r="747" spans="1:25 16384:16384" s="1204" customFormat="1" ht="15" hidden="1" customHeight="1">
      <c r="B747" s="1218"/>
      <c r="D747" s="1804"/>
      <c r="E747" s="1804"/>
      <c r="F747" s="1804"/>
      <c r="G747" s="1804"/>
      <c r="H747" s="1804"/>
      <c r="I747" s="1804"/>
      <c r="J747" s="1804"/>
      <c r="K747" s="1804"/>
      <c r="L747" s="1804"/>
      <c r="M747" s="1804"/>
      <c r="N747" s="1804"/>
      <c r="O747" s="1804"/>
      <c r="P747" s="1804"/>
      <c r="Q747" s="1"/>
      <c r="R747" s="1"/>
      <c r="S747" s="9"/>
      <c r="T747" s="1"/>
      <c r="U747" s="1"/>
      <c r="V747" s="1214"/>
      <c r="W747" s="1215"/>
      <c r="X747" s="1215"/>
      <c r="Y747" s="1217"/>
    </row>
    <row r="748" spans="1:25 16384:16384" ht="15" hidden="1" customHeight="1">
      <c r="B748" s="789"/>
      <c r="C748" s="3"/>
      <c r="D748" s="124"/>
      <c r="E748" s="124"/>
      <c r="F748" s="124"/>
      <c r="G748" s="124"/>
      <c r="H748" s="124"/>
      <c r="I748" s="124"/>
      <c r="J748" s="124"/>
      <c r="K748" s="124"/>
      <c r="L748" s="124"/>
      <c r="M748" s="124"/>
      <c r="N748" s="124"/>
      <c r="O748" s="124"/>
      <c r="P748" s="124"/>
      <c r="Q748" s="1"/>
      <c r="R748" s="1"/>
      <c r="S748" s="48"/>
      <c r="V748" s="21"/>
      <c r="W748" s="21"/>
      <c r="X748" s="21"/>
      <c r="Y748" s="165"/>
    </row>
    <row r="749" spans="1:25 16384:16384" s="1204" customFormat="1" ht="15" hidden="1" customHeight="1">
      <c r="A749" s="1212"/>
      <c r="B749" s="1205"/>
      <c r="C749" s="1213"/>
      <c r="D749" s="1804" t="str">
        <f>Text!C244</f>
        <v>Wird eine Schadstoffuntersuchung des Gebäudebestands (Asbest, PCB, PCP) durchgeführt und werden schadstoffhaltige Materialien fachgerecht entsorgt? (''Ja'' falls keine Bauwerke um- oder zurückgebaut werden oder diese 1990 und später erstellt wurden)</v>
      </c>
      <c r="E749" s="1804"/>
      <c r="F749" s="1804"/>
      <c r="G749" s="1804"/>
      <c r="H749" s="1804"/>
      <c r="I749" s="1804"/>
      <c r="J749" s="1804"/>
      <c r="K749" s="1804"/>
      <c r="L749" s="1804"/>
      <c r="M749" s="1804"/>
      <c r="N749" s="1804"/>
      <c r="O749" s="1804"/>
      <c r="P749" s="1804"/>
      <c r="Q749" s="1"/>
      <c r="R749" s="1"/>
      <c r="S749" s="48"/>
      <c r="T749" s="1"/>
      <c r="U749" s="1"/>
      <c r="V749" s="1215"/>
      <c r="W749" s="1215"/>
      <c r="X749" s="1215"/>
      <c r="Y749" s="1217"/>
    </row>
    <row r="750" spans="1:25 16384:16384" s="1204" customFormat="1" ht="15" hidden="1" customHeight="1">
      <c r="B750" s="1218"/>
      <c r="D750" s="1804"/>
      <c r="E750" s="1804"/>
      <c r="F750" s="1804"/>
      <c r="G750" s="1804"/>
      <c r="H750" s="1804"/>
      <c r="I750" s="1804"/>
      <c r="J750" s="1804"/>
      <c r="K750" s="1804"/>
      <c r="L750" s="1804"/>
      <c r="M750" s="1804"/>
      <c r="N750" s="1804"/>
      <c r="O750" s="1804"/>
      <c r="P750" s="1804"/>
      <c r="Q750" s="1"/>
      <c r="R750" s="1"/>
      <c r="S750" s="9"/>
      <c r="T750" s="1"/>
      <c r="U750" s="1"/>
      <c r="V750" s="1214"/>
      <c r="W750" s="1215"/>
      <c r="X750" s="1215"/>
      <c r="Y750" s="1217"/>
    </row>
    <row r="751" spans="1:25 16384:16384" ht="15" hidden="1" customHeight="1">
      <c r="B751" s="789"/>
      <c r="C751" s="3"/>
      <c r="D751" s="124"/>
      <c r="E751" s="124"/>
      <c r="F751" s="124"/>
      <c r="G751" s="124"/>
      <c r="H751" s="124"/>
      <c r="I751" s="124"/>
      <c r="J751" s="124"/>
      <c r="K751" s="124"/>
      <c r="L751" s="124"/>
      <c r="M751" s="124"/>
      <c r="N751" s="124"/>
      <c r="O751" s="124"/>
      <c r="P751" s="124"/>
      <c r="Q751" s="1"/>
      <c r="R751" s="1"/>
      <c r="S751" s="48"/>
      <c r="V751" s="21"/>
      <c r="W751" s="21"/>
      <c r="X751" s="21"/>
      <c r="Y751" s="165"/>
    </row>
    <row r="752" spans="1:25 16384:16384" s="1204" customFormat="1" ht="15" hidden="1" customHeight="1">
      <c r="A752" s="1212"/>
      <c r="B752" s="1205"/>
      <c r="C752" s="1213"/>
      <c r="D752" s="1804" t="str">
        <f>Text!C245</f>
        <v>Werden die BAFU-Richtlinien zur Luftreinhaltung auf der Baustelle befolgt?</v>
      </c>
      <c r="E752" s="1804"/>
      <c r="F752" s="1804"/>
      <c r="G752" s="1804"/>
      <c r="H752" s="1804"/>
      <c r="I752" s="1804"/>
      <c r="J752" s="1804"/>
      <c r="K752" s="1804"/>
      <c r="L752" s="1804"/>
      <c r="M752" s="1804"/>
      <c r="N752" s="1804"/>
      <c r="O752" s="1804"/>
      <c r="P752" s="1804"/>
      <c r="Q752" s="1"/>
      <c r="R752" s="1"/>
      <c r="S752" s="48"/>
      <c r="T752" s="1"/>
      <c r="U752" s="1"/>
      <c r="V752" s="1215"/>
      <c r="W752" s="1215"/>
      <c r="X752" s="1215"/>
      <c r="Y752" s="1217" t="str">
        <f>Text!C13</f>
        <v>Info [4]</v>
      </c>
    </row>
    <row r="753" spans="1:25" s="1204" customFormat="1" ht="15" hidden="1" customHeight="1">
      <c r="B753" s="1218"/>
      <c r="D753" s="1804"/>
      <c r="E753" s="1804"/>
      <c r="F753" s="1804"/>
      <c r="G753" s="1804"/>
      <c r="H753" s="1804"/>
      <c r="I753" s="1804"/>
      <c r="J753" s="1804"/>
      <c r="K753" s="1804"/>
      <c r="L753" s="1804"/>
      <c r="M753" s="1804"/>
      <c r="N753" s="1804"/>
      <c r="O753" s="1804"/>
      <c r="P753" s="1804"/>
      <c r="Q753" s="1"/>
      <c r="R753" s="1"/>
      <c r="S753" s="9"/>
      <c r="T753" s="1"/>
      <c r="U753" s="1"/>
      <c r="V753" s="1214"/>
      <c r="W753" s="1215"/>
      <c r="X753" s="1215"/>
      <c r="Y753" s="1217"/>
    </row>
    <row r="754" spans="1:25" ht="15" hidden="1" customHeight="1">
      <c r="B754" s="789"/>
      <c r="C754" s="3"/>
      <c r="D754" s="124"/>
      <c r="E754" s="124"/>
      <c r="F754" s="124"/>
      <c r="G754" s="124"/>
      <c r="H754" s="124"/>
      <c r="I754" s="124"/>
      <c r="J754" s="124"/>
      <c r="K754" s="124"/>
      <c r="L754" s="124"/>
      <c r="M754" s="124"/>
      <c r="N754" s="124"/>
      <c r="O754" s="124"/>
      <c r="P754" s="124"/>
      <c r="Q754" s="1"/>
      <c r="R754" s="1"/>
      <c r="S754" s="48"/>
      <c r="V754" s="21"/>
      <c r="W754" s="21"/>
      <c r="X754" s="21"/>
      <c r="Y754" s="165"/>
    </row>
    <row r="755" spans="1:25" s="1204" customFormat="1" ht="15" hidden="1" customHeight="1">
      <c r="A755" s="1212"/>
      <c r="B755" s="1205"/>
      <c r="C755" s="1213"/>
      <c r="D755" s="1804" t="str">
        <f>Text!C246</f>
        <v>Wird ein Konzept zum Schutz von Grundwasser, Gewässer und Böden während des Baus erstellt oder ist dies aufgrund des kleinen Eingriffs am Bestand nicht notwendig?</v>
      </c>
      <c r="E755" s="1804"/>
      <c r="F755" s="1804"/>
      <c r="G755" s="1804"/>
      <c r="H755" s="1804"/>
      <c r="I755" s="1804"/>
      <c r="J755" s="1804"/>
      <c r="K755" s="1804"/>
      <c r="L755" s="1804"/>
      <c r="M755" s="1804"/>
      <c r="N755" s="1804"/>
      <c r="O755" s="1804"/>
      <c r="P755" s="1804"/>
      <c r="Q755" s="1"/>
      <c r="R755" s="1"/>
      <c r="S755" s="48"/>
      <c r="T755" s="1"/>
      <c r="U755" s="1"/>
      <c r="V755" s="1215"/>
      <c r="W755" s="1215"/>
      <c r="X755" s="1215"/>
      <c r="Y755" s="1217"/>
    </row>
    <row r="756" spans="1:25" s="1204" customFormat="1" ht="15" hidden="1" customHeight="1">
      <c r="B756" s="1218"/>
      <c r="D756" s="1804"/>
      <c r="E756" s="1804"/>
      <c r="F756" s="1804"/>
      <c r="G756" s="1804"/>
      <c r="H756" s="1804"/>
      <c r="I756" s="1804"/>
      <c r="J756" s="1804"/>
      <c r="K756" s="1804"/>
      <c r="L756" s="1804"/>
      <c r="M756" s="1804"/>
      <c r="N756" s="1804"/>
      <c r="O756" s="1804"/>
      <c r="P756" s="1804"/>
      <c r="Q756" s="1"/>
      <c r="R756" s="1"/>
      <c r="S756" s="9"/>
      <c r="T756" s="1"/>
      <c r="U756" s="1"/>
      <c r="V756" s="1214"/>
      <c r="W756" s="1215"/>
      <c r="X756" s="1215"/>
      <c r="Y756" s="1217"/>
    </row>
    <row r="757" spans="1:25" ht="15" customHeight="1">
      <c r="B757" s="789"/>
      <c r="C757" s="3"/>
      <c r="D757" s="124"/>
      <c r="E757" s="124"/>
      <c r="F757" s="124"/>
      <c r="G757" s="124"/>
      <c r="H757" s="124"/>
      <c r="I757" s="124"/>
      <c r="J757" s="124"/>
      <c r="K757" s="124"/>
      <c r="L757" s="124"/>
      <c r="M757" s="124"/>
      <c r="N757" s="124"/>
      <c r="O757" s="124"/>
      <c r="P757" s="124"/>
      <c r="Q757" s="1"/>
      <c r="R757" s="1"/>
      <c r="S757" s="48"/>
      <c r="V757" s="21"/>
      <c r="W757" s="21"/>
      <c r="X757" s="21"/>
      <c r="Y757" s="165"/>
    </row>
    <row r="758" spans="1:25" s="1204" customFormat="1" ht="15" customHeight="1">
      <c r="A758" s="1212"/>
      <c r="B758" s="1205"/>
      <c r="C758" s="1213"/>
      <c r="D758" s="1804" t="str">
        <f>Text!C247</f>
        <v>Wird grosses Augenmerk auf die Verwendung von ressourcen- und umweltschonenden Materialien gelegt? (z. B. Auswahl gemäss eco-BKP-Empfehlungen, Ausschreibung nach eco-Devis)</v>
      </c>
      <c r="E758" s="1804"/>
      <c r="F758" s="1804"/>
      <c r="G758" s="1804"/>
      <c r="H758" s="1804"/>
      <c r="I758" s="1804"/>
      <c r="J758" s="1804"/>
      <c r="K758" s="1804"/>
      <c r="L758" s="1804"/>
      <c r="M758" s="1804"/>
      <c r="N758" s="1804"/>
      <c r="O758" s="1804"/>
      <c r="P758" s="1804"/>
      <c r="Q758" s="1"/>
      <c r="R758" s="1"/>
      <c r="S758" s="48"/>
      <c r="T758" s="1"/>
      <c r="U758" s="1"/>
      <c r="V758" s="1215">
        <f>Text!B247</f>
        <v>332</v>
      </c>
      <c r="W758" s="1215"/>
      <c r="X758" s="1215"/>
      <c r="Y758" s="1217" t="str">
        <f>Text!C13</f>
        <v>Info [4]</v>
      </c>
    </row>
    <row r="759" spans="1:25" s="1204" customFormat="1" ht="15" customHeight="1">
      <c r="B759" s="1218"/>
      <c r="D759" s="1804"/>
      <c r="E759" s="1804"/>
      <c r="F759" s="1804"/>
      <c r="G759" s="1804"/>
      <c r="H759" s="1804"/>
      <c r="I759" s="1804"/>
      <c r="J759" s="1804"/>
      <c r="K759" s="1804"/>
      <c r="L759" s="1804"/>
      <c r="M759" s="1804"/>
      <c r="N759" s="1804"/>
      <c r="O759" s="1804"/>
      <c r="P759" s="1804"/>
      <c r="Q759" s="1"/>
      <c r="R759" s="1"/>
      <c r="S759" s="9"/>
      <c r="T759" s="1"/>
      <c r="U759" s="1"/>
      <c r="V759" s="1214"/>
      <c r="W759" s="1215"/>
      <c r="X759" s="1215"/>
      <c r="Y759" s="1217"/>
    </row>
    <row r="760" spans="1:25" ht="15" hidden="1" customHeight="1">
      <c r="B760" s="789"/>
      <c r="C760" s="3"/>
      <c r="D760" s="124"/>
      <c r="E760" s="124"/>
      <c r="F760" s="124"/>
      <c r="G760" s="124"/>
      <c r="H760" s="124"/>
      <c r="I760" s="124"/>
      <c r="J760" s="124"/>
      <c r="K760" s="124"/>
      <c r="L760" s="124"/>
      <c r="M760" s="124"/>
      <c r="N760" s="124"/>
      <c r="O760" s="124"/>
      <c r="P760" s="124"/>
      <c r="Q760" s="1"/>
      <c r="R760" s="1"/>
      <c r="S760" s="48"/>
      <c r="V760" s="21"/>
      <c r="W760" s="21"/>
      <c r="X760" s="21"/>
      <c r="Y760" s="165"/>
    </row>
    <row r="761" spans="1:25" s="1204" customFormat="1" ht="15" hidden="1" customHeight="1">
      <c r="A761" s="1212"/>
      <c r="B761" s="1205"/>
      <c r="C761" s="1213"/>
      <c r="D761" s="1804" t="str">
        <f>Text!C248</f>
        <v>Wird auf die Verwendung von aussereuropäischen Hölzern/Holzprodukten ohne FSC, PEFC oder gleichwertige Label verzichtet?</v>
      </c>
      <c r="E761" s="1804"/>
      <c r="F761" s="1804"/>
      <c r="G761" s="1804"/>
      <c r="H761" s="1804"/>
      <c r="I761" s="1804"/>
      <c r="J761" s="1804"/>
      <c r="K761" s="1804"/>
      <c r="L761" s="1804"/>
      <c r="M761" s="1804"/>
      <c r="N761" s="1804"/>
      <c r="O761" s="1804"/>
      <c r="P761" s="1804"/>
      <c r="Q761" s="1"/>
      <c r="R761" s="1"/>
      <c r="S761" s="48"/>
      <c r="T761" s="1"/>
      <c r="U761" s="1"/>
      <c r="V761" s="1215"/>
      <c r="W761" s="1215"/>
      <c r="X761" s="1215"/>
      <c r="Y761" s="1217"/>
    </row>
    <row r="762" spans="1:25" s="1204" customFormat="1" ht="15" hidden="1" customHeight="1">
      <c r="B762" s="1218"/>
      <c r="D762" s="1804"/>
      <c r="E762" s="1804"/>
      <c r="F762" s="1804"/>
      <c r="G762" s="1804"/>
      <c r="H762" s="1804"/>
      <c r="I762" s="1804"/>
      <c r="J762" s="1804"/>
      <c r="K762" s="1804"/>
      <c r="L762" s="1804"/>
      <c r="M762" s="1804"/>
      <c r="N762" s="1804"/>
      <c r="O762" s="1804"/>
      <c r="P762" s="1804"/>
      <c r="Q762" s="1"/>
      <c r="R762" s="1"/>
      <c r="S762" s="9"/>
      <c r="T762" s="1"/>
      <c r="U762" s="1"/>
      <c r="V762" s="1214"/>
      <c r="W762" s="1215"/>
      <c r="X762" s="1215"/>
      <c r="Y762" s="1217"/>
    </row>
    <row r="763" spans="1:25" ht="15" hidden="1" customHeight="1">
      <c r="B763" s="789"/>
      <c r="C763" s="3"/>
      <c r="D763" s="124"/>
      <c r="E763" s="124"/>
      <c r="F763" s="124"/>
      <c r="G763" s="124"/>
      <c r="H763" s="124"/>
      <c r="I763" s="124"/>
      <c r="J763" s="124"/>
      <c r="K763" s="124"/>
      <c r="L763" s="124"/>
      <c r="M763" s="124"/>
      <c r="N763" s="124"/>
      <c r="O763" s="124"/>
      <c r="P763" s="124"/>
      <c r="Q763" s="1"/>
      <c r="R763" s="1"/>
      <c r="S763" s="48"/>
      <c r="V763" s="21"/>
      <c r="W763" s="21"/>
      <c r="X763" s="21"/>
      <c r="Y763" s="165"/>
    </row>
    <row r="764" spans="1:25" s="1204" customFormat="1" ht="15" hidden="1" customHeight="1">
      <c r="A764" s="1212"/>
      <c r="B764" s="1205"/>
      <c r="C764" s="1213"/>
      <c r="D764" s="1804" t="str">
        <f>Text!C249</f>
        <v>Wird wo möglich RC-Beton, RC-Material oder RC-Kiessand eingesetzt?</v>
      </c>
      <c r="E764" s="1804"/>
      <c r="F764" s="1804"/>
      <c r="G764" s="1804"/>
      <c r="H764" s="1804"/>
      <c r="I764" s="1804"/>
      <c r="J764" s="1804"/>
      <c r="K764" s="1804"/>
      <c r="L764" s="1804"/>
      <c r="M764" s="1804"/>
      <c r="N764" s="1804"/>
      <c r="O764" s="1804"/>
      <c r="P764" s="1804"/>
      <c r="Q764" s="1"/>
      <c r="R764" s="1"/>
      <c r="S764" s="48"/>
      <c r="T764" s="1"/>
      <c r="U764" s="1"/>
      <c r="V764" s="1215"/>
      <c r="W764" s="1215"/>
      <c r="X764" s="1215"/>
      <c r="Y764" s="1217"/>
    </row>
    <row r="765" spans="1:25" s="1204" customFormat="1" ht="15" hidden="1" customHeight="1">
      <c r="B765" s="1218"/>
      <c r="D765" s="1804"/>
      <c r="E765" s="1804"/>
      <c r="F765" s="1804"/>
      <c r="G765" s="1804"/>
      <c r="H765" s="1804"/>
      <c r="I765" s="1804"/>
      <c r="J765" s="1804"/>
      <c r="K765" s="1804"/>
      <c r="L765" s="1804"/>
      <c r="M765" s="1804"/>
      <c r="N765" s="1804"/>
      <c r="O765" s="1804"/>
      <c r="P765" s="1804"/>
      <c r="Q765" s="1"/>
      <c r="R765" s="1"/>
      <c r="S765" s="9"/>
      <c r="T765" s="1"/>
      <c r="U765" s="1"/>
      <c r="V765" s="1214"/>
      <c r="W765" s="1215"/>
      <c r="X765" s="1215"/>
      <c r="Y765" s="1217"/>
    </row>
    <row r="766" spans="1:25" ht="15" hidden="1" customHeight="1">
      <c r="B766" s="789"/>
      <c r="D766" s="124"/>
      <c r="E766" s="124"/>
      <c r="F766" s="124"/>
      <c r="G766" s="124"/>
      <c r="H766" s="124"/>
      <c r="I766" s="124"/>
      <c r="J766" s="124"/>
      <c r="K766" s="124"/>
      <c r="L766" s="124"/>
      <c r="M766" s="124"/>
      <c r="N766" s="124"/>
      <c r="O766" s="124"/>
      <c r="P766" s="125"/>
      <c r="S766" s="48"/>
      <c r="V766" s="21"/>
      <c r="W766" s="21"/>
      <c r="X766" s="21"/>
      <c r="Y766" s="165"/>
    </row>
    <row r="767" spans="1:25" s="1204" customFormat="1" ht="15" hidden="1" customHeight="1">
      <c r="A767" s="1212"/>
      <c r="B767" s="1205"/>
      <c r="C767" s="1213"/>
      <c r="D767" s="1804" t="str">
        <f>Text!C250</f>
        <v>Wird auf Dämmstoffe mit ungünstigen ökologischen Eigenschaften verzichtet z. B. (bezüglich halogenhaltiger Treibgase und Flammschutzmitteln) bzw. wird der Verzicht im Pflichtenheft formuliert?</v>
      </c>
      <c r="E767" s="1804"/>
      <c r="F767" s="1804"/>
      <c r="G767" s="1804"/>
      <c r="H767" s="1804"/>
      <c r="I767" s="1804"/>
      <c r="J767" s="1804"/>
      <c r="K767" s="1804"/>
      <c r="L767" s="1804"/>
      <c r="M767" s="1804"/>
      <c r="N767" s="1804"/>
      <c r="O767" s="1804"/>
      <c r="P767" s="1804"/>
      <c r="Q767" s="1"/>
      <c r="R767" s="1"/>
      <c r="S767" s="48"/>
      <c r="T767" s="1"/>
      <c r="U767" s="1"/>
      <c r="V767" s="1215"/>
      <c r="W767" s="1215"/>
      <c r="X767" s="1215"/>
      <c r="Y767" s="1217"/>
    </row>
    <row r="768" spans="1:25" s="1204" customFormat="1" ht="15" hidden="1" customHeight="1">
      <c r="B768" s="1218"/>
      <c r="D768" s="1804"/>
      <c r="E768" s="1804"/>
      <c r="F768" s="1804"/>
      <c r="G768" s="1804"/>
      <c r="H768" s="1804"/>
      <c r="I768" s="1804"/>
      <c r="J768" s="1804"/>
      <c r="K768" s="1804"/>
      <c r="L768" s="1804"/>
      <c r="M768" s="1804"/>
      <c r="N768" s="1804"/>
      <c r="O768" s="1804"/>
      <c r="P768" s="1804"/>
      <c r="Q768" s="1"/>
      <c r="R768" s="1"/>
      <c r="S768" s="9"/>
      <c r="T768" s="1"/>
      <c r="U768" s="1"/>
      <c r="V768" s="1214"/>
      <c r="W768" s="1215"/>
      <c r="X768" s="1215"/>
      <c r="Y768" s="1217"/>
    </row>
    <row r="769" spans="1:25" ht="15" hidden="1" customHeight="1">
      <c r="B769" s="789"/>
      <c r="D769" s="124"/>
      <c r="E769" s="124"/>
      <c r="F769" s="124"/>
      <c r="G769" s="124"/>
      <c r="H769" s="124"/>
      <c r="I769" s="124"/>
      <c r="J769" s="124"/>
      <c r="K769" s="124"/>
      <c r="L769" s="124"/>
      <c r="M769" s="124"/>
      <c r="N769" s="124"/>
      <c r="O769" s="124"/>
      <c r="P769" s="125"/>
      <c r="S769" s="48"/>
      <c r="V769" s="21"/>
      <c r="W769" s="21"/>
      <c r="X769" s="21"/>
      <c r="Y769" s="165"/>
    </row>
    <row r="770" spans="1:25" s="1204" customFormat="1" ht="15" hidden="1" customHeight="1">
      <c r="A770" s="1212"/>
      <c r="B770" s="1205"/>
      <c r="C770" s="1213"/>
      <c r="D770" s="1804" t="str">
        <f>Text!C251</f>
        <v>Wird auf die Verwendung von Montage- oder Füllschäumen verzichtet?</v>
      </c>
      <c r="E770" s="1804"/>
      <c r="F770" s="1804"/>
      <c r="G770" s="1804"/>
      <c r="H770" s="1804"/>
      <c r="I770" s="1804"/>
      <c r="J770" s="1804"/>
      <c r="K770" s="1804"/>
      <c r="L770" s="1804"/>
      <c r="M770" s="1804"/>
      <c r="N770" s="1804"/>
      <c r="O770" s="1804"/>
      <c r="P770" s="1804"/>
      <c r="Q770" s="1"/>
      <c r="R770" s="1"/>
      <c r="S770" s="48"/>
      <c r="T770" s="1"/>
      <c r="U770" s="1"/>
      <c r="V770" s="1215"/>
      <c r="W770" s="1215"/>
      <c r="X770" s="1215"/>
      <c r="Y770" s="1217"/>
    </row>
    <row r="771" spans="1:25" s="1204" customFormat="1" ht="15" hidden="1" customHeight="1">
      <c r="B771" s="1218"/>
      <c r="D771" s="1804"/>
      <c r="E771" s="1804"/>
      <c r="F771" s="1804"/>
      <c r="G771" s="1804"/>
      <c r="H771" s="1804"/>
      <c r="I771" s="1804"/>
      <c r="J771" s="1804"/>
      <c r="K771" s="1804"/>
      <c r="L771" s="1804"/>
      <c r="M771" s="1804"/>
      <c r="N771" s="1804"/>
      <c r="O771" s="1804"/>
      <c r="P771" s="1804"/>
      <c r="Q771" s="1"/>
      <c r="R771" s="1"/>
      <c r="S771" s="9"/>
      <c r="T771" s="1"/>
      <c r="U771" s="1"/>
      <c r="V771" s="1214"/>
      <c r="W771" s="1215"/>
      <c r="X771" s="1215"/>
      <c r="Y771" s="1217"/>
    </row>
    <row r="772" spans="1:25" ht="15" customHeight="1">
      <c r="B772" s="789"/>
      <c r="D772" s="124"/>
      <c r="E772" s="124"/>
      <c r="F772" s="124"/>
      <c r="G772" s="124"/>
      <c r="H772" s="124"/>
      <c r="I772" s="124"/>
      <c r="J772" s="124"/>
      <c r="K772" s="124"/>
      <c r="L772" s="124"/>
      <c r="M772" s="124"/>
      <c r="N772" s="124"/>
      <c r="O772" s="124"/>
      <c r="P772" s="125"/>
      <c r="S772" s="48"/>
      <c r="V772" s="21"/>
      <c r="W772" s="21"/>
      <c r="X772" s="21"/>
      <c r="Y772" s="165"/>
    </row>
    <row r="773" spans="1:25" s="1204" customFormat="1" ht="15" customHeight="1">
      <c r="A773" s="1212"/>
      <c r="B773" s="1205"/>
      <c r="C773" s="1213"/>
      <c r="D773" s="1804" t="str">
        <f>Text!C252</f>
        <v>Wird eine langfristig und effizient funktionierende Bau- und Gebäudetechnik mit einer expliziten Funktionsprüfung bei Inbetriebnahme und einer energetischen Betriebsoptimierung nach Gebäudeübergabe gewährleistet?</v>
      </c>
      <c r="E773" s="1804"/>
      <c r="F773" s="1804"/>
      <c r="G773" s="1804"/>
      <c r="H773" s="1804"/>
      <c r="I773" s="1804"/>
      <c r="J773" s="1804"/>
      <c r="K773" s="1804"/>
      <c r="L773" s="1804"/>
      <c r="M773" s="1804"/>
      <c r="N773" s="1804"/>
      <c r="O773" s="1804"/>
      <c r="P773" s="1804"/>
      <c r="Q773" s="1"/>
      <c r="R773" s="1"/>
      <c r="S773" s="48"/>
      <c r="T773" s="1"/>
      <c r="U773" s="1"/>
      <c r="V773" s="1215">
        <f>Text!B252</f>
        <v>333</v>
      </c>
      <c r="W773" s="1215"/>
      <c r="X773" s="1215"/>
      <c r="Y773" s="1217"/>
    </row>
    <row r="774" spans="1:25" s="1204" customFormat="1" ht="15" customHeight="1">
      <c r="B774" s="1218"/>
      <c r="D774" s="1804"/>
      <c r="E774" s="1804"/>
      <c r="F774" s="1804"/>
      <c r="G774" s="1804"/>
      <c r="H774" s="1804"/>
      <c r="I774" s="1804"/>
      <c r="J774" s="1804"/>
      <c r="K774" s="1804"/>
      <c r="L774" s="1804"/>
      <c r="M774" s="1804"/>
      <c r="N774" s="1804"/>
      <c r="O774" s="1804"/>
      <c r="P774" s="1804"/>
      <c r="Q774" s="1"/>
      <c r="R774" s="1"/>
      <c r="S774" s="9"/>
      <c r="T774" s="1"/>
      <c r="U774" s="1"/>
      <c r="V774" s="1214"/>
      <c r="W774" s="1215"/>
      <c r="X774" s="1215"/>
      <c r="Y774" s="1217"/>
    </row>
    <row r="775" spans="1:25" ht="15" hidden="1" customHeight="1">
      <c r="B775" s="789"/>
      <c r="D775" s="124"/>
      <c r="E775" s="124"/>
      <c r="F775" s="124"/>
      <c r="G775" s="124"/>
      <c r="H775" s="124"/>
      <c r="I775" s="124"/>
      <c r="J775" s="124"/>
      <c r="K775" s="124"/>
      <c r="L775" s="124"/>
      <c r="M775" s="124"/>
      <c r="N775" s="124"/>
      <c r="O775" s="124"/>
      <c r="P775" s="125"/>
      <c r="S775" s="48"/>
      <c r="V775" s="21"/>
      <c r="W775" s="21"/>
      <c r="X775" s="21"/>
      <c r="Y775" s="165"/>
    </row>
    <row r="776" spans="1:25" s="1204" customFormat="1" ht="15" hidden="1" customHeight="1">
      <c r="A776" s="1212"/>
      <c r="B776" s="1205"/>
      <c r="C776" s="1213"/>
      <c r="D776" s="1804" t="str">
        <f>Text!C253</f>
        <v>Wird eine systematische Funktionsprüfung sämtlicher Gebäudetechniksysteme vor Inbetriebnahme durchgeführt und entsprechend dokumentiert?</v>
      </c>
      <c r="E776" s="1804"/>
      <c r="F776" s="1804"/>
      <c r="G776" s="1804"/>
      <c r="H776" s="1804"/>
      <c r="I776" s="1804"/>
      <c r="J776" s="1804"/>
      <c r="K776" s="1804"/>
      <c r="L776" s="1804"/>
      <c r="M776" s="1804"/>
      <c r="N776" s="1804"/>
      <c r="O776" s="1804"/>
      <c r="P776" s="1804"/>
      <c r="Q776" s="1"/>
      <c r="R776" s="1"/>
      <c r="S776" s="48"/>
      <c r="T776" s="1"/>
      <c r="U776" s="1"/>
      <c r="V776" s="1215"/>
      <c r="W776" s="1215"/>
      <c r="X776" s="1215"/>
      <c r="Y776" s="1217"/>
    </row>
    <row r="777" spans="1:25" s="1204" customFormat="1" ht="15" hidden="1" customHeight="1">
      <c r="B777" s="1218"/>
      <c r="D777" s="1804"/>
      <c r="E777" s="1804"/>
      <c r="F777" s="1804"/>
      <c r="G777" s="1804"/>
      <c r="H777" s="1804"/>
      <c r="I777" s="1804"/>
      <c r="J777" s="1804"/>
      <c r="K777" s="1804"/>
      <c r="L777" s="1804"/>
      <c r="M777" s="1804"/>
      <c r="N777" s="1804"/>
      <c r="O777" s="1804"/>
      <c r="P777" s="1804"/>
      <c r="Q777" s="1"/>
      <c r="R777" s="1"/>
      <c r="S777" s="9"/>
      <c r="T777" s="1"/>
      <c r="U777" s="1"/>
      <c r="V777" s="1214"/>
      <c r="W777" s="1215"/>
      <c r="X777" s="1215"/>
      <c r="Y777" s="1217"/>
    </row>
    <row r="778" spans="1:25" ht="15" hidden="1" customHeight="1">
      <c r="B778" s="789"/>
      <c r="D778" s="124"/>
      <c r="E778" s="124"/>
      <c r="F778" s="124"/>
      <c r="G778" s="124"/>
      <c r="H778" s="124"/>
      <c r="I778" s="124"/>
      <c r="J778" s="124"/>
      <c r="K778" s="124"/>
      <c r="L778" s="124"/>
      <c r="M778" s="124"/>
      <c r="N778" s="124"/>
      <c r="O778" s="124"/>
      <c r="P778" s="125"/>
      <c r="S778" s="48"/>
      <c r="V778" s="21"/>
      <c r="W778" s="21"/>
      <c r="X778" s="21"/>
      <c r="Y778" s="165"/>
    </row>
    <row r="779" spans="1:25" s="1204" customFormat="1" ht="15" hidden="1" customHeight="1">
      <c r="A779" s="1212"/>
      <c r="B779" s="1205"/>
      <c r="C779" s="1213"/>
      <c r="D779" s="1804" t="str">
        <f>Text!C254</f>
        <v>Wird die systematische Inbetriebnahme der Gebäudetechniksysteme, inklusive Einregulierung und Nachjustierung, im Terminplan von Anfang an vorgesehen?</v>
      </c>
      <c r="E779" s="1804"/>
      <c r="F779" s="1804"/>
      <c r="G779" s="1804"/>
      <c r="H779" s="1804"/>
      <c r="I779" s="1804"/>
      <c r="J779" s="1804"/>
      <c r="K779" s="1804"/>
      <c r="L779" s="1804"/>
      <c r="M779" s="1804"/>
      <c r="N779" s="1804"/>
      <c r="O779" s="1804"/>
      <c r="P779" s="1804"/>
      <c r="Q779" s="1"/>
      <c r="R779" s="1"/>
      <c r="S779" s="48"/>
      <c r="T779" s="1"/>
      <c r="U779" s="1"/>
      <c r="V779" s="1215"/>
      <c r="W779" s="1215"/>
      <c r="X779" s="1215"/>
      <c r="Y779" s="1217"/>
    </row>
    <row r="780" spans="1:25" s="1204" customFormat="1" ht="15" hidden="1" customHeight="1">
      <c r="B780" s="1218"/>
      <c r="D780" s="1804"/>
      <c r="E780" s="1804"/>
      <c r="F780" s="1804"/>
      <c r="G780" s="1804"/>
      <c r="H780" s="1804"/>
      <c r="I780" s="1804"/>
      <c r="J780" s="1804"/>
      <c r="K780" s="1804"/>
      <c r="L780" s="1804"/>
      <c r="M780" s="1804"/>
      <c r="N780" s="1804"/>
      <c r="O780" s="1804"/>
      <c r="P780" s="1804"/>
      <c r="Q780" s="1"/>
      <c r="R780" s="1"/>
      <c r="S780" s="9"/>
      <c r="T780" s="1"/>
      <c r="U780" s="1"/>
      <c r="V780" s="1214"/>
      <c r="W780" s="1215"/>
      <c r="X780" s="1215"/>
      <c r="Y780" s="1217"/>
    </row>
    <row r="781" spans="1:25" ht="15" hidden="1" customHeight="1">
      <c r="B781" s="794"/>
      <c r="C781" s="1"/>
      <c r="D781" s="125"/>
      <c r="E781" s="125"/>
      <c r="F781" s="125"/>
      <c r="G781" s="125"/>
      <c r="H781" s="125"/>
      <c r="I781" s="125"/>
      <c r="J781" s="125"/>
      <c r="K781" s="125"/>
      <c r="L781" s="125"/>
      <c r="M781" s="125"/>
      <c r="N781" s="125"/>
      <c r="O781" s="125"/>
      <c r="P781" s="125"/>
      <c r="Q781" s="1"/>
      <c r="R781" s="1"/>
      <c r="S781" s="48"/>
      <c r="V781" s="1"/>
      <c r="Y781" s="1"/>
    </row>
    <row r="782" spans="1:25" s="1204" customFormat="1" ht="29.15" hidden="1" customHeight="1">
      <c r="B782" s="1205"/>
      <c r="C782" s="1206"/>
      <c r="D782" s="1804" t="str">
        <f>Text!C255</f>
        <v>Ist eine energetische Betriebsoptimierung unmittelbar nach Übergabe (eBO*) vorgesehen?</v>
      </c>
      <c r="E782" s="1804"/>
      <c r="F782" s="1804"/>
      <c r="G782" s="1804"/>
      <c r="H782" s="1804"/>
      <c r="I782" s="1804"/>
      <c r="J782" s="1804"/>
      <c r="K782" s="1804"/>
      <c r="L782" s="1804"/>
      <c r="M782" s="1804"/>
      <c r="N782" s="1804"/>
      <c r="O782" s="1804"/>
      <c r="P782" s="1804"/>
      <c r="Q782" s="124"/>
      <c r="R782" s="1"/>
      <c r="S782" s="48"/>
      <c r="T782" s="1"/>
      <c r="U782" s="1"/>
      <c r="V782" s="1215"/>
      <c r="W782" s="1215"/>
      <c r="X782" s="1215"/>
      <c r="Y782" s="1217" t="str">
        <f>Text!C11</f>
        <v>Info [2]</v>
      </c>
    </row>
    <row r="783" spans="1:25" s="1204" customFormat="1" hidden="1">
      <c r="B783" s="1205"/>
      <c r="C783" s="1206"/>
      <c r="D783" s="1810" t="str">
        <f>Text!C624</f>
        <v>SIA 2048:2015 «Energetische Betriebsoptimierung»</v>
      </c>
      <c r="E783" s="1810"/>
      <c r="F783" s="1810"/>
      <c r="G783" s="1810"/>
      <c r="H783" s="1810"/>
      <c r="I783" s="1810"/>
      <c r="J783" s="1810"/>
      <c r="K783" s="1810"/>
      <c r="L783" s="1810"/>
      <c r="M783" s="1810"/>
      <c r="N783" s="1810"/>
      <c r="O783" s="1810"/>
      <c r="P783" s="1810"/>
      <c r="Q783" s="124"/>
      <c r="R783" s="1"/>
      <c r="S783" s="9"/>
      <c r="T783" s="1"/>
      <c r="U783" s="1"/>
      <c r="V783" s="1215"/>
      <c r="W783" s="1215"/>
      <c r="X783" s="1215"/>
      <c r="Y783" s="1217"/>
    </row>
    <row r="784" spans="1:25">
      <c r="B784" s="789"/>
      <c r="D784" s="124"/>
      <c r="E784" s="124"/>
      <c r="F784" s="124"/>
      <c r="G784" s="124"/>
      <c r="H784" s="124"/>
      <c r="I784" s="124"/>
      <c r="J784" s="124"/>
      <c r="K784" s="124"/>
      <c r="L784" s="124"/>
      <c r="M784" s="124"/>
      <c r="N784" s="124"/>
      <c r="O784" s="124"/>
      <c r="P784" s="124"/>
      <c r="Q784" s="123"/>
      <c r="R784" s="1"/>
      <c r="S784" s="48"/>
      <c r="V784" s="21"/>
      <c r="W784" s="21"/>
      <c r="X784" s="21"/>
      <c r="Y784" s="165"/>
    </row>
    <row r="785" spans="1:25" s="1204" customFormat="1" ht="15" customHeight="1">
      <c r="A785" s="1212"/>
      <c r="B785" s="1205"/>
      <c r="C785" s="1213"/>
      <c r="D785" s="1804" t="str">
        <f>Text!C256</f>
        <v>Wird ein ausführliches Messkonzept für ein langfristiges Energiemonitoring erstellt, mit Installation der Messeinrichtung, Auswertung und Darstellung der Ergebnisse?</v>
      </c>
      <c r="E785" s="1804"/>
      <c r="F785" s="1804"/>
      <c r="G785" s="1804"/>
      <c r="H785" s="1804"/>
      <c r="I785" s="1804"/>
      <c r="J785" s="1804"/>
      <c r="K785" s="1804"/>
      <c r="L785" s="1804"/>
      <c r="M785" s="1804"/>
      <c r="N785" s="1804"/>
      <c r="O785" s="1804"/>
      <c r="P785" s="1804"/>
      <c r="Q785" s="1"/>
      <c r="R785" s="1"/>
      <c r="S785" s="48"/>
      <c r="T785" s="1"/>
      <c r="U785" s="1"/>
      <c r="V785" s="1215">
        <f>Text!B256</f>
        <v>334</v>
      </c>
      <c r="W785" s="1215"/>
      <c r="X785" s="1215"/>
      <c r="Y785" s="1217"/>
    </row>
    <row r="786" spans="1:25" s="1204" customFormat="1" ht="15" customHeight="1">
      <c r="B786" s="1218"/>
      <c r="D786" s="1804"/>
      <c r="E786" s="1804"/>
      <c r="F786" s="1804"/>
      <c r="G786" s="1804"/>
      <c r="H786" s="1804"/>
      <c r="I786" s="1804"/>
      <c r="J786" s="1804"/>
      <c r="K786" s="1804"/>
      <c r="L786" s="1804"/>
      <c r="M786" s="1804"/>
      <c r="N786" s="1804"/>
      <c r="O786" s="1804"/>
      <c r="P786" s="1804"/>
      <c r="Q786" s="1"/>
      <c r="R786" s="1"/>
      <c r="S786" s="9"/>
      <c r="T786" s="1"/>
      <c r="U786" s="1"/>
      <c r="V786" s="1214"/>
      <c r="W786" s="1215"/>
      <c r="X786" s="1215"/>
      <c r="Y786" s="1217"/>
    </row>
    <row r="787" spans="1:25" hidden="1">
      <c r="B787" s="789"/>
      <c r="D787" s="124"/>
      <c r="E787" s="124"/>
      <c r="F787" s="124"/>
      <c r="G787" s="124"/>
      <c r="H787" s="124"/>
      <c r="I787" s="124"/>
      <c r="J787" s="124"/>
      <c r="K787" s="124"/>
      <c r="L787" s="124"/>
      <c r="M787" s="124"/>
      <c r="N787" s="124"/>
      <c r="O787" s="124"/>
      <c r="P787" s="124"/>
      <c r="Q787" s="123"/>
      <c r="R787" s="1"/>
      <c r="S787" s="48"/>
      <c r="V787" s="21"/>
      <c r="W787" s="21"/>
      <c r="X787" s="21"/>
      <c r="Y787" s="165"/>
    </row>
    <row r="788" spans="1:25" s="1204" customFormat="1" ht="15" hidden="1" customHeight="1">
      <c r="A788" s="1212"/>
      <c r="B788" s="1205"/>
      <c r="C788" s="1213"/>
      <c r="D788" s="1804" t="str">
        <f>Text!C257</f>
        <v>Besteht ein Konzept zum Energiemonitoring und werden dementsprechende Messeinrichtungen installiert bzw. wird die Messeinrichtung im Pflichtenheft vorgegeben?</v>
      </c>
      <c r="E788" s="1804"/>
      <c r="F788" s="1804"/>
      <c r="G788" s="1804"/>
      <c r="H788" s="1804"/>
      <c r="I788" s="1804"/>
      <c r="J788" s="1804"/>
      <c r="K788" s="1804"/>
      <c r="L788" s="1804"/>
      <c r="M788" s="1804"/>
      <c r="N788" s="1804"/>
      <c r="O788" s="1804"/>
      <c r="P788" s="1804"/>
      <c r="Q788" s="1"/>
      <c r="R788" s="1"/>
      <c r="S788" s="48"/>
      <c r="T788" s="1"/>
      <c r="U788" s="1"/>
      <c r="V788" s="1215"/>
      <c r="W788" s="1215"/>
      <c r="X788" s="1215"/>
      <c r="Y788" s="1217"/>
    </row>
    <row r="789" spans="1:25" s="1204" customFormat="1" ht="15" hidden="1" customHeight="1">
      <c r="B789" s="1218"/>
      <c r="D789" s="1804"/>
      <c r="E789" s="1804"/>
      <c r="F789" s="1804"/>
      <c r="G789" s="1804"/>
      <c r="H789" s="1804"/>
      <c r="I789" s="1804"/>
      <c r="J789" s="1804"/>
      <c r="K789" s="1804"/>
      <c r="L789" s="1804"/>
      <c r="M789" s="1804"/>
      <c r="N789" s="1804"/>
      <c r="O789" s="1804"/>
      <c r="P789" s="1804"/>
      <c r="Q789" s="1"/>
      <c r="R789" s="1"/>
      <c r="S789" s="9"/>
      <c r="T789" s="1"/>
      <c r="U789" s="1"/>
      <c r="V789" s="1214"/>
      <c r="W789" s="1215"/>
      <c r="X789" s="1215"/>
      <c r="Y789" s="1217"/>
    </row>
    <row r="790" spans="1:25" hidden="1">
      <c r="B790" s="789"/>
      <c r="D790" s="124"/>
      <c r="E790" s="124"/>
      <c r="F790" s="124"/>
      <c r="G790" s="124"/>
      <c r="H790" s="124"/>
      <c r="I790" s="124"/>
      <c r="J790" s="124"/>
      <c r="K790" s="124"/>
      <c r="L790" s="124"/>
      <c r="M790" s="124"/>
      <c r="N790" s="124"/>
      <c r="O790" s="124"/>
      <c r="P790" s="124"/>
      <c r="Q790" s="123"/>
      <c r="R790" s="1"/>
      <c r="S790" s="48"/>
      <c r="V790" s="21"/>
      <c r="W790" s="21"/>
      <c r="X790" s="21"/>
      <c r="Y790" s="165"/>
    </row>
    <row r="791" spans="1:25" s="1204" customFormat="1" ht="15" hidden="1" customHeight="1">
      <c r="A791" s="1212"/>
      <c r="B791" s="1205"/>
      <c r="C791" s="1213"/>
      <c r="D791" s="1804" t="str">
        <f>Text!C258</f>
        <v>Ist eine langfristige Ablesung, Speicherung und Verarbeitung der Messergebnisse geplant bzw. gewährleistet?</v>
      </c>
      <c r="E791" s="1804"/>
      <c r="F791" s="1804"/>
      <c r="G791" s="1804"/>
      <c r="H791" s="1804"/>
      <c r="I791" s="1804"/>
      <c r="J791" s="1804"/>
      <c r="K791" s="1804"/>
      <c r="L791" s="1804"/>
      <c r="M791" s="1804"/>
      <c r="N791" s="1804"/>
      <c r="O791" s="1804"/>
      <c r="P791" s="1804"/>
      <c r="Q791" s="1"/>
      <c r="R791" s="1"/>
      <c r="S791" s="48"/>
      <c r="T791" s="1"/>
      <c r="U791" s="1"/>
      <c r="V791" s="1215"/>
      <c r="W791" s="1215"/>
      <c r="X791" s="1215"/>
      <c r="Y791" s="1217"/>
    </row>
    <row r="792" spans="1:25" s="1204" customFormat="1" ht="15" hidden="1" customHeight="1">
      <c r="B792" s="1218"/>
      <c r="D792" s="1804"/>
      <c r="E792" s="1804"/>
      <c r="F792" s="1804"/>
      <c r="G792" s="1804"/>
      <c r="H792" s="1804"/>
      <c r="I792" s="1804"/>
      <c r="J792" s="1804"/>
      <c r="K792" s="1804"/>
      <c r="L792" s="1804"/>
      <c r="M792" s="1804"/>
      <c r="N792" s="1804"/>
      <c r="O792" s="1804"/>
      <c r="P792" s="1804"/>
      <c r="Q792" s="1"/>
      <c r="R792" s="1"/>
      <c r="S792" s="9"/>
      <c r="T792" s="1"/>
      <c r="U792" s="1"/>
      <c r="V792" s="1214"/>
      <c r="W792" s="1215"/>
      <c r="X792" s="1215"/>
      <c r="Y792" s="1217"/>
    </row>
    <row r="793" spans="1:25" ht="15" hidden="1" customHeight="1">
      <c r="B793" s="789"/>
      <c r="D793" s="124"/>
      <c r="E793" s="124"/>
      <c r="F793" s="124"/>
      <c r="G793" s="124"/>
      <c r="H793" s="124"/>
      <c r="I793" s="124"/>
      <c r="J793" s="124"/>
      <c r="K793" s="124"/>
      <c r="L793" s="124"/>
      <c r="M793" s="124"/>
      <c r="N793" s="124"/>
      <c r="O793" s="124"/>
      <c r="P793" s="125"/>
      <c r="S793" s="48"/>
      <c r="V793" s="21"/>
      <c r="W793" s="21"/>
      <c r="X793" s="21"/>
      <c r="Y793" s="165"/>
    </row>
    <row r="794" spans="1:25" s="1204" customFormat="1" ht="15" hidden="1" customHeight="1">
      <c r="A794" s="1212"/>
      <c r="B794" s="1205"/>
      <c r="C794" s="1213"/>
      <c r="D794" s="1804" t="str">
        <f>Text!C259</f>
        <v>Sind die Zuständigkeiten zur langfristigen Auswertung und Darstellung der Messergebnisse geregelt?</v>
      </c>
      <c r="E794" s="1804"/>
      <c r="F794" s="1804"/>
      <c r="G794" s="1804"/>
      <c r="H794" s="1804"/>
      <c r="I794" s="1804"/>
      <c r="J794" s="1804"/>
      <c r="K794" s="1804"/>
      <c r="L794" s="1804"/>
      <c r="M794" s="1804"/>
      <c r="N794" s="1804"/>
      <c r="O794" s="1804"/>
      <c r="P794" s="1804"/>
      <c r="Q794" s="1"/>
      <c r="R794" s="1"/>
      <c r="S794" s="48"/>
      <c r="T794" s="1"/>
      <c r="U794" s="1"/>
      <c r="V794" s="1215"/>
      <c r="W794" s="1215"/>
      <c r="X794" s="1215"/>
      <c r="Y794" s="1217"/>
    </row>
    <row r="795" spans="1:25" s="1204" customFormat="1" ht="15" hidden="1" customHeight="1">
      <c r="B795" s="1218"/>
      <c r="D795" s="1804"/>
      <c r="E795" s="1804"/>
      <c r="F795" s="1804"/>
      <c r="G795" s="1804"/>
      <c r="H795" s="1804"/>
      <c r="I795" s="1804"/>
      <c r="J795" s="1804"/>
      <c r="K795" s="1804"/>
      <c r="L795" s="1804"/>
      <c r="M795" s="1804"/>
      <c r="N795" s="1804"/>
      <c r="O795" s="1804"/>
      <c r="P795" s="1804"/>
      <c r="Q795" s="1"/>
      <c r="R795" s="1"/>
      <c r="S795" s="9"/>
      <c r="T795" s="1"/>
      <c r="U795" s="1"/>
      <c r="V795" s="1214"/>
      <c r="W795" s="1215"/>
      <c r="X795" s="1215"/>
      <c r="Y795" s="1217"/>
    </row>
    <row r="796" spans="1:25" ht="15" customHeight="1">
      <c r="D796" s="124"/>
      <c r="E796" s="124"/>
      <c r="F796" s="124"/>
      <c r="G796" s="124"/>
      <c r="H796" s="124"/>
      <c r="I796" s="124"/>
      <c r="J796" s="124"/>
      <c r="K796" s="124"/>
      <c r="L796" s="124"/>
      <c r="M796" s="124"/>
      <c r="N796" s="124"/>
      <c r="O796" s="124"/>
      <c r="P796" s="125"/>
      <c r="S796" s="48"/>
      <c r="V796" s="21"/>
      <c r="W796" s="21"/>
      <c r="X796" s="21"/>
      <c r="Y796" s="165"/>
    </row>
    <row r="797" spans="1:25" s="1204" customFormat="1" ht="15" customHeight="1">
      <c r="A797" s="1212"/>
      <c r="B797" s="1205"/>
      <c r="C797" s="1213"/>
      <c r="D797" s="1804" t="str">
        <f>Text!C260</f>
        <v>Wird eine Messeinrichtung für ein langfristiges Monitoring vorgesehen, welche zur Beurteilung der thermischen Behaglichkeit im Gebäude dient und eine entsprechende Auswertung ermöglicht?</v>
      </c>
      <c r="E797" s="1804"/>
      <c r="F797" s="1804"/>
      <c r="G797" s="1804"/>
      <c r="H797" s="1804"/>
      <c r="I797" s="1804"/>
      <c r="J797" s="1804"/>
      <c r="K797" s="1804"/>
      <c r="L797" s="1804"/>
      <c r="M797" s="1804"/>
      <c r="N797" s="1804"/>
      <c r="O797" s="1804"/>
      <c r="P797" s="1804"/>
      <c r="Q797" s="1"/>
      <c r="R797" s="1"/>
      <c r="S797" s="48"/>
      <c r="T797" s="1"/>
      <c r="U797" s="1"/>
      <c r="V797" s="1215" t="str">
        <f>Text!B260</f>
        <v>K334</v>
      </c>
      <c r="W797" s="1215"/>
      <c r="X797" s="1215"/>
      <c r="Y797" s="1217"/>
    </row>
    <row r="798" spans="1:25" s="1204" customFormat="1" ht="15" customHeight="1">
      <c r="B798" s="1218"/>
      <c r="D798" s="1804"/>
      <c r="E798" s="1804"/>
      <c r="F798" s="1804"/>
      <c r="G798" s="1804"/>
      <c r="H798" s="1804"/>
      <c r="I798" s="1804"/>
      <c r="J798" s="1804"/>
      <c r="K798" s="1804"/>
      <c r="L798" s="1804"/>
      <c r="M798" s="1804"/>
      <c r="N798" s="1804"/>
      <c r="O798" s="1804"/>
      <c r="P798" s="1804"/>
      <c r="Q798" s="1"/>
      <c r="R798" s="1"/>
      <c r="S798" s="9"/>
      <c r="T798" s="1"/>
      <c r="U798" s="1"/>
      <c r="V798" s="1214"/>
      <c r="W798" s="1215"/>
      <c r="X798" s="1215"/>
      <c r="Y798" s="1217"/>
    </row>
    <row r="799" spans="1:25" ht="15" hidden="1" customHeight="1">
      <c r="D799" s="124"/>
      <c r="E799" s="124"/>
      <c r="F799" s="124"/>
      <c r="G799" s="124"/>
      <c r="H799" s="124"/>
      <c r="I799" s="124"/>
      <c r="J799" s="124"/>
      <c r="K799" s="124"/>
      <c r="L799" s="124"/>
      <c r="M799" s="124"/>
      <c r="N799" s="124"/>
      <c r="O799" s="124"/>
      <c r="P799" s="125"/>
      <c r="S799" s="107"/>
      <c r="V799" s="21"/>
      <c r="W799" s="21"/>
      <c r="X799" s="21"/>
      <c r="Y799" s="165"/>
    </row>
    <row r="800" spans="1:25" s="1204" customFormat="1" ht="15" hidden="1" customHeight="1">
      <c r="A800" s="1212"/>
      <c r="B800" s="1205"/>
      <c r="C800" s="1213"/>
      <c r="D800" s="1804" t="str">
        <f>Text!C261</f>
        <v>Besteht ein Konzept, welches ein Monitoring der thermischen Behaglichkeit ermöglicht, und werden dementsprechende Messeinrichtungen installiert?</v>
      </c>
      <c r="E800" s="1804"/>
      <c r="F800" s="1804"/>
      <c r="G800" s="1804"/>
      <c r="H800" s="1804"/>
      <c r="I800" s="1804"/>
      <c r="J800" s="1804"/>
      <c r="K800" s="1804"/>
      <c r="L800" s="1804"/>
      <c r="M800" s="1804"/>
      <c r="N800" s="1804"/>
      <c r="O800" s="1804"/>
      <c r="P800" s="1804"/>
      <c r="Q800" s="1"/>
      <c r="R800" s="1"/>
      <c r="S800" s="48"/>
      <c r="T800" s="1"/>
      <c r="U800" s="1"/>
      <c r="V800" s="1215"/>
      <c r="W800" s="1215"/>
      <c r="X800" s="1215"/>
      <c r="Y800" s="1217"/>
    </row>
    <row r="801" spans="1:25" s="1204" customFormat="1" ht="15" hidden="1" customHeight="1">
      <c r="B801" s="1218"/>
      <c r="D801" s="1804"/>
      <c r="E801" s="1804"/>
      <c r="F801" s="1804"/>
      <c r="G801" s="1804"/>
      <c r="H801" s="1804"/>
      <c r="I801" s="1804"/>
      <c r="J801" s="1804"/>
      <c r="K801" s="1804"/>
      <c r="L801" s="1804"/>
      <c r="M801" s="1804"/>
      <c r="N801" s="1804"/>
      <c r="O801" s="1804"/>
      <c r="P801" s="1804"/>
      <c r="Q801" s="1"/>
      <c r="R801" s="1"/>
      <c r="S801" s="9"/>
      <c r="T801" s="1"/>
      <c r="U801" s="1"/>
      <c r="V801" s="1214"/>
      <c r="W801" s="1215"/>
      <c r="X801" s="1215"/>
      <c r="Y801" s="1217"/>
    </row>
    <row r="802" spans="1:25" ht="15" hidden="1" customHeight="1">
      <c r="D802" s="13"/>
      <c r="E802" s="13"/>
      <c r="F802" s="13"/>
      <c r="G802" s="13"/>
      <c r="H802" s="13"/>
      <c r="I802" s="13"/>
      <c r="J802" s="13"/>
      <c r="K802" s="13"/>
      <c r="L802" s="13"/>
      <c r="M802" s="13"/>
      <c r="N802" s="13"/>
      <c r="O802" s="13"/>
      <c r="P802" s="125"/>
      <c r="S802" s="92"/>
      <c r="W802" s="46"/>
      <c r="X802" s="46"/>
      <c r="Y802" s="223"/>
    </row>
    <row r="803" spans="1:25" s="1204" customFormat="1" ht="15" hidden="1" customHeight="1">
      <c r="A803" s="1212"/>
      <c r="B803" s="1205"/>
      <c r="C803" s="1213"/>
      <c r="D803" s="1804" t="str">
        <f>Text!C262</f>
        <v>Ist eine langfristige Ablesung der Messergebnisse geplant bzw. gewährleistet?</v>
      </c>
      <c r="E803" s="1804"/>
      <c r="F803" s="1804"/>
      <c r="G803" s="1804"/>
      <c r="H803" s="1804"/>
      <c r="I803" s="1804"/>
      <c r="J803" s="1804"/>
      <c r="K803" s="1804"/>
      <c r="L803" s="1804"/>
      <c r="M803" s="1804"/>
      <c r="N803" s="1804"/>
      <c r="O803" s="1804"/>
      <c r="P803" s="1804"/>
      <c r="Q803" s="1"/>
      <c r="R803" s="1"/>
      <c r="S803" s="48"/>
      <c r="T803" s="1"/>
      <c r="U803" s="1"/>
      <c r="V803" s="1215"/>
      <c r="W803" s="1215"/>
      <c r="X803" s="1215"/>
      <c r="Y803" s="1217"/>
    </row>
    <row r="804" spans="1:25" s="1204" customFormat="1" ht="15" hidden="1" customHeight="1">
      <c r="B804" s="1218"/>
      <c r="D804" s="1804"/>
      <c r="E804" s="1804"/>
      <c r="F804" s="1804"/>
      <c r="G804" s="1804"/>
      <c r="H804" s="1804"/>
      <c r="I804" s="1804"/>
      <c r="J804" s="1804"/>
      <c r="K804" s="1804"/>
      <c r="L804" s="1804"/>
      <c r="M804" s="1804"/>
      <c r="N804" s="1804"/>
      <c r="O804" s="1804"/>
      <c r="P804" s="1804"/>
      <c r="Q804" s="1"/>
      <c r="R804" s="1"/>
      <c r="S804" s="9"/>
      <c r="T804" s="1"/>
      <c r="U804" s="1"/>
      <c r="V804" s="1214"/>
      <c r="W804" s="1215"/>
      <c r="X804" s="1215"/>
      <c r="Y804" s="1217"/>
    </row>
    <row r="805" spans="1:25" ht="15" hidden="1" customHeight="1">
      <c r="D805" s="124"/>
      <c r="E805" s="124"/>
      <c r="F805" s="124"/>
      <c r="G805" s="124"/>
      <c r="H805" s="124"/>
      <c r="I805" s="124"/>
      <c r="J805" s="124"/>
      <c r="K805" s="124"/>
      <c r="L805" s="124"/>
      <c r="M805" s="124"/>
      <c r="N805" s="124"/>
      <c r="O805" s="124"/>
      <c r="P805" s="125"/>
      <c r="S805" s="107"/>
      <c r="V805" s="21"/>
      <c r="W805" s="21"/>
      <c r="X805" s="21"/>
      <c r="Y805" s="165"/>
    </row>
    <row r="806" spans="1:25" s="1204" customFormat="1" ht="15" hidden="1" customHeight="1">
      <c r="A806" s="1212"/>
      <c r="B806" s="1205"/>
      <c r="C806" s="1213"/>
      <c r="D806" s="1804" t="str">
        <f>Text!C263</f>
        <v>Sind die Zuständigkeiten zur langfristigen Auswertung und Darstellung der Messergebnisse geregelt?</v>
      </c>
      <c r="E806" s="1804"/>
      <c r="F806" s="1804"/>
      <c r="G806" s="1804"/>
      <c r="H806" s="1804"/>
      <c r="I806" s="1804"/>
      <c r="J806" s="1804"/>
      <c r="K806" s="1804"/>
      <c r="L806" s="1804"/>
      <c r="M806" s="1804"/>
      <c r="N806" s="1804"/>
      <c r="O806" s="1804"/>
      <c r="P806" s="1804"/>
      <c r="Q806" s="1"/>
      <c r="R806" s="1"/>
      <c r="S806" s="48"/>
      <c r="T806" s="1"/>
      <c r="U806" s="1"/>
      <c r="V806" s="1215"/>
      <c r="W806" s="1215"/>
      <c r="X806" s="1215"/>
      <c r="Y806" s="1217"/>
    </row>
    <row r="807" spans="1:25" s="1204" customFormat="1" ht="15" hidden="1" customHeight="1">
      <c r="B807" s="1218"/>
      <c r="D807" s="1804"/>
      <c r="E807" s="1804"/>
      <c r="F807" s="1804"/>
      <c r="G807" s="1804"/>
      <c r="H807" s="1804"/>
      <c r="I807" s="1804"/>
      <c r="J807" s="1804"/>
      <c r="K807" s="1804"/>
      <c r="L807" s="1804"/>
      <c r="M807" s="1804"/>
      <c r="N807" s="1804"/>
      <c r="O807" s="1804"/>
      <c r="P807" s="1804"/>
      <c r="Q807" s="1"/>
      <c r="R807" s="1"/>
      <c r="S807" s="9"/>
      <c r="T807" s="1"/>
      <c r="U807" s="1"/>
      <c r="V807" s="1214"/>
      <c r="W807" s="1215"/>
      <c r="X807" s="1215"/>
      <c r="Y807" s="1217"/>
    </row>
    <row r="808" spans="1:25" ht="15" customHeight="1">
      <c r="D808" s="13"/>
      <c r="E808" s="13"/>
      <c r="F808" s="13"/>
      <c r="G808" s="13"/>
      <c r="H808" s="13"/>
      <c r="I808" s="13"/>
      <c r="J808" s="13"/>
      <c r="K808" s="13"/>
      <c r="L808" s="13"/>
      <c r="M808" s="13"/>
      <c r="N808" s="13"/>
      <c r="O808" s="13"/>
      <c r="P808" s="125"/>
      <c r="S808" s="92"/>
      <c r="W808" s="46"/>
      <c r="X808" s="46"/>
      <c r="Y808" s="223"/>
    </row>
    <row r="809" spans="1:25" s="1204" customFormat="1" ht="15" customHeight="1">
      <c r="A809" s="1212"/>
      <c r="B809" s="1205"/>
      <c r="C809" s="1213"/>
      <c r="D809" s="1804" t="str">
        <f>Text!C264</f>
        <v>Wird ein explizites Konzept zur Förderung einer ressourcen- und umweltschonenden Mobilität (ÖV- und Velonutzung) und Reduktion des motorisierten Individualverkehrs erstellt und angewendet?</v>
      </c>
      <c r="E809" s="1804"/>
      <c r="F809" s="1804"/>
      <c r="G809" s="1804"/>
      <c r="H809" s="1804"/>
      <c r="I809" s="1804"/>
      <c r="J809" s="1804"/>
      <c r="K809" s="1804"/>
      <c r="L809" s="1804"/>
      <c r="M809" s="1804"/>
      <c r="N809" s="1804"/>
      <c r="O809" s="1804"/>
      <c r="P809" s="1804"/>
      <c r="Q809" s="1"/>
      <c r="R809" s="1"/>
      <c r="S809" s="48"/>
      <c r="T809" s="1"/>
      <c r="U809" s="1"/>
      <c r="V809" s="1215">
        <f>Text!B264</f>
        <v>335</v>
      </c>
      <c r="W809" s="1215"/>
      <c r="X809" s="1215"/>
      <c r="Y809" s="1217"/>
    </row>
    <row r="810" spans="1:25" s="1204" customFormat="1" ht="15" customHeight="1">
      <c r="D810" s="1804"/>
      <c r="E810" s="1804"/>
      <c r="F810" s="1804"/>
      <c r="G810" s="1804"/>
      <c r="H810" s="1804"/>
      <c r="I810" s="1804"/>
      <c r="J810" s="1804"/>
      <c r="K810" s="1804"/>
      <c r="L810" s="1804"/>
      <c r="M810" s="1804"/>
      <c r="N810" s="1804"/>
      <c r="O810" s="1804"/>
      <c r="P810" s="1804"/>
      <c r="Q810" s="1"/>
      <c r="R810" s="1"/>
      <c r="S810" s="47"/>
      <c r="T810" s="1"/>
      <c r="U810" s="1"/>
    </row>
    <row r="811" spans="1:25" ht="15" hidden="1" customHeight="1">
      <c r="D811" s="124"/>
      <c r="E811" s="124"/>
      <c r="F811" s="124"/>
      <c r="G811" s="124"/>
      <c r="H811" s="124"/>
      <c r="I811" s="124"/>
      <c r="J811" s="124"/>
      <c r="K811" s="124"/>
      <c r="L811" s="124"/>
      <c r="M811" s="124"/>
      <c r="N811" s="124"/>
      <c r="O811" s="124"/>
      <c r="P811" s="125"/>
      <c r="S811" s="107"/>
      <c r="V811" s="21"/>
      <c r="W811" s="21"/>
      <c r="X811" s="21"/>
      <c r="Y811" s="165"/>
    </row>
    <row r="812" spans="1:25" s="1204" customFormat="1" ht="15" hidden="1" customHeight="1">
      <c r="A812" s="1212"/>
      <c r="B812" s="1205"/>
      <c r="C812" s="1213"/>
      <c r="D812" s="1804" t="str">
        <f>Text!C265</f>
        <v>Werden Anreize zur Nutzung von ÖV, Velos oder Carsharing geschaffen? (z. B. keine Abnahmepflicht für Autoabstellplätze, Mitfinanzierung von ÖV-Abonnements, Carsharing-Plätze oder Elektro-Ladestationen)</v>
      </c>
      <c r="E812" s="1804"/>
      <c r="F812" s="1804"/>
      <c r="G812" s="1804"/>
      <c r="H812" s="1804"/>
      <c r="I812" s="1804"/>
      <c r="J812" s="1804"/>
      <c r="K812" s="1804"/>
      <c r="L812" s="1804"/>
      <c r="M812" s="1804"/>
      <c r="N812" s="1804"/>
      <c r="O812" s="1804"/>
      <c r="P812" s="1804"/>
      <c r="Q812" s="1"/>
      <c r="R812" s="1"/>
      <c r="S812" s="48"/>
      <c r="T812" s="1"/>
      <c r="U812" s="1"/>
      <c r="V812" s="1215"/>
      <c r="W812" s="1215"/>
      <c r="X812" s="1215"/>
      <c r="Y812" s="1217"/>
    </row>
    <row r="813" spans="1:25" s="1204" customFormat="1" ht="15" hidden="1" customHeight="1">
      <c r="D813" s="1804"/>
      <c r="E813" s="1804"/>
      <c r="F813" s="1804"/>
      <c r="G813" s="1804"/>
      <c r="H813" s="1804"/>
      <c r="I813" s="1804"/>
      <c r="J813" s="1804"/>
      <c r="K813" s="1804"/>
      <c r="L813" s="1804"/>
      <c r="M813" s="1804"/>
      <c r="N813" s="1804"/>
      <c r="O813" s="1804"/>
      <c r="P813" s="1804"/>
      <c r="Q813" s="1"/>
      <c r="R813" s="1"/>
      <c r="S813" s="47"/>
      <c r="T813" s="1"/>
      <c r="U813" s="1"/>
    </row>
    <row r="814" spans="1:25" ht="15" hidden="1" customHeight="1">
      <c r="D814" s="13"/>
      <c r="E814" s="13"/>
      <c r="F814" s="13"/>
      <c r="G814" s="13"/>
      <c r="H814" s="13"/>
      <c r="I814" s="13"/>
      <c r="J814" s="13"/>
      <c r="K814" s="13"/>
      <c r="L814" s="13"/>
      <c r="M814" s="13"/>
      <c r="N814" s="13"/>
      <c r="O814" s="13"/>
      <c r="P814" s="125"/>
      <c r="S814" s="92"/>
      <c r="W814" s="46"/>
      <c r="X814" s="46"/>
      <c r="Y814" s="223"/>
    </row>
    <row r="815" spans="1:25" s="1204" customFormat="1" ht="15" hidden="1" customHeight="1">
      <c r="A815" s="1212"/>
      <c r="B815" s="1205"/>
      <c r="C815" s="1213"/>
      <c r="D815" s="1804" t="str">
        <f>Text!C266</f>
        <v>Wird die gesetzlich minimal mögliche Parkplatzzahl in ober- oder unterirdischen Gesamtanlagen geplant?</v>
      </c>
      <c r="E815" s="1804"/>
      <c r="F815" s="1804"/>
      <c r="G815" s="1804"/>
      <c r="H815" s="1804"/>
      <c r="I815" s="1804"/>
      <c r="J815" s="1804"/>
      <c r="K815" s="1804"/>
      <c r="L815" s="1804"/>
      <c r="M815" s="1804"/>
      <c r="N815" s="1804"/>
      <c r="O815" s="1804"/>
      <c r="P815" s="1804"/>
      <c r="Q815" s="1"/>
      <c r="R815" s="1"/>
      <c r="S815" s="48"/>
      <c r="T815" s="1"/>
      <c r="U815" s="1"/>
      <c r="V815" s="1215"/>
      <c r="W815" s="1215"/>
      <c r="X815" s="1215"/>
      <c r="Y815" s="1217"/>
    </row>
    <row r="816" spans="1:25" s="1204" customFormat="1" ht="15" hidden="1" customHeight="1">
      <c r="D816" s="1804"/>
      <c r="E816" s="1804"/>
      <c r="F816" s="1804"/>
      <c r="G816" s="1804"/>
      <c r="H816" s="1804"/>
      <c r="I816" s="1804"/>
      <c r="J816" s="1804"/>
      <c r="K816" s="1804"/>
      <c r="L816" s="1804"/>
      <c r="M816" s="1804"/>
      <c r="N816" s="1804"/>
      <c r="O816" s="1804"/>
      <c r="P816" s="1804"/>
      <c r="Q816" s="1"/>
      <c r="R816" s="1"/>
      <c r="S816" s="47"/>
      <c r="T816" s="1"/>
      <c r="U816" s="1"/>
    </row>
    <row r="817" spans="1:25" ht="15" hidden="1" customHeight="1">
      <c r="D817" s="124"/>
      <c r="E817" s="124"/>
      <c r="F817" s="124"/>
      <c r="G817" s="124"/>
      <c r="H817" s="124"/>
      <c r="I817" s="124"/>
      <c r="J817" s="124"/>
      <c r="K817" s="124"/>
      <c r="L817" s="124"/>
      <c r="M817" s="124"/>
      <c r="N817" s="124"/>
      <c r="O817" s="124"/>
      <c r="P817" s="125"/>
      <c r="S817" s="107"/>
      <c r="V817" s="21"/>
      <c r="W817" s="21"/>
      <c r="X817" s="21"/>
      <c r="Y817" s="165"/>
    </row>
    <row r="818" spans="1:25" s="1204" customFormat="1" ht="15" hidden="1" customHeight="1">
      <c r="A818" s="1212"/>
      <c r="B818" s="1205"/>
      <c r="C818" s="1213"/>
      <c r="D818" s="1804" t="str">
        <f>Text!C267</f>
        <v>Bestehen für Autoparkplätze ähnliche Distanzen wie zu ÖV-Haltestellen?</v>
      </c>
      <c r="E818" s="1804"/>
      <c r="F818" s="1804"/>
      <c r="G818" s="1804"/>
      <c r="H818" s="1804"/>
      <c r="I818" s="1804"/>
      <c r="J818" s="1804"/>
      <c r="K818" s="1804"/>
      <c r="L818" s="1804"/>
      <c r="M818" s="1804"/>
      <c r="N818" s="1804"/>
      <c r="O818" s="1804"/>
      <c r="P818" s="1804"/>
      <c r="Q818" s="1"/>
      <c r="R818" s="1"/>
      <c r="S818" s="48"/>
      <c r="T818" s="1"/>
      <c r="U818" s="1"/>
      <c r="V818" s="1215"/>
      <c r="W818" s="1215"/>
      <c r="X818" s="1215"/>
      <c r="Y818" s="1217"/>
    </row>
    <row r="819" spans="1:25" s="1204" customFormat="1" ht="15" hidden="1" customHeight="1">
      <c r="D819" s="1804"/>
      <c r="E819" s="1804"/>
      <c r="F819" s="1804"/>
      <c r="G819" s="1804"/>
      <c r="H819" s="1804"/>
      <c r="I819" s="1804"/>
      <c r="J819" s="1804"/>
      <c r="K819" s="1804"/>
      <c r="L819" s="1804"/>
      <c r="M819" s="1804"/>
      <c r="N819" s="1804"/>
      <c r="O819" s="1804"/>
      <c r="P819" s="1804"/>
      <c r="Q819" s="1"/>
      <c r="R819" s="1"/>
      <c r="S819" s="47"/>
      <c r="T819" s="1"/>
      <c r="U819" s="1"/>
    </row>
    <row r="820" spans="1:25" ht="15" hidden="1" customHeight="1">
      <c r="D820" s="124"/>
      <c r="E820" s="124"/>
      <c r="F820" s="124"/>
      <c r="G820" s="124"/>
      <c r="H820" s="124"/>
      <c r="I820" s="124"/>
      <c r="J820" s="124"/>
      <c r="K820" s="124"/>
      <c r="L820" s="124"/>
      <c r="M820" s="124"/>
      <c r="N820" s="124"/>
      <c r="O820" s="124"/>
      <c r="P820" s="125"/>
      <c r="S820" s="107"/>
      <c r="V820" s="21"/>
      <c r="W820" s="21"/>
      <c r="X820" s="21"/>
      <c r="Y820" s="165"/>
    </row>
    <row r="821" spans="1:25" s="1204" customFormat="1" ht="15" hidden="1" customHeight="1">
      <c r="A821" s="1212"/>
      <c r="B821" s="1205"/>
      <c r="C821" s="1213"/>
      <c r="D821" s="1804" t="str">
        <f>Text!C268</f>
        <v>Sind die Veloabstellplätze schneller und besser erreichbar als Autoabstellplätze?</v>
      </c>
      <c r="E821" s="1804"/>
      <c r="F821" s="1804"/>
      <c r="G821" s="1804"/>
      <c r="H821" s="1804"/>
      <c r="I821" s="1804"/>
      <c r="J821" s="1804"/>
      <c r="K821" s="1804"/>
      <c r="L821" s="1804"/>
      <c r="M821" s="1804"/>
      <c r="N821" s="1804"/>
      <c r="O821" s="1804"/>
      <c r="P821" s="1804"/>
      <c r="Q821" s="1"/>
      <c r="R821" s="1"/>
      <c r="S821" s="48"/>
      <c r="T821" s="1"/>
      <c r="U821" s="1"/>
      <c r="V821" s="1215"/>
      <c r="W821" s="1215"/>
      <c r="X821" s="1215"/>
      <c r="Y821" s="1217"/>
    </row>
    <row r="822" spans="1:25" s="1204" customFormat="1" ht="15" hidden="1" customHeight="1">
      <c r="D822" s="1804"/>
      <c r="E822" s="1804"/>
      <c r="F822" s="1804"/>
      <c r="G822" s="1804"/>
      <c r="H822" s="1804"/>
      <c r="I822" s="1804"/>
      <c r="J822" s="1804"/>
      <c r="K822" s="1804"/>
      <c r="L822" s="1804"/>
      <c r="M822" s="1804"/>
      <c r="N822" s="1804"/>
      <c r="O822" s="1804"/>
      <c r="P822" s="1804"/>
      <c r="Q822" s="1"/>
      <c r="R822" s="1"/>
      <c r="S822" s="47"/>
      <c r="T822" s="1"/>
      <c r="U822" s="1"/>
    </row>
    <row r="823" spans="1:25" ht="15" hidden="1" customHeight="1">
      <c r="D823" s="13"/>
      <c r="E823" s="13"/>
      <c r="F823" s="13"/>
      <c r="G823" s="13"/>
      <c r="H823" s="13"/>
      <c r="I823" s="13"/>
      <c r="J823" s="13"/>
      <c r="K823" s="13"/>
      <c r="L823" s="13"/>
      <c r="M823" s="13"/>
      <c r="N823" s="13"/>
      <c r="O823" s="13"/>
      <c r="P823" s="125"/>
      <c r="S823" s="92"/>
      <c r="W823" s="46"/>
      <c r="X823" s="46"/>
      <c r="Y823" s="223"/>
    </row>
    <row r="824" spans="1:25" s="1204" customFormat="1" ht="15" hidden="1" customHeight="1">
      <c r="A824" s="1212"/>
      <c r="B824" s="1205"/>
      <c r="C824" s="1213"/>
      <c r="D824" s="1804" t="str">
        <f>Text!C269</f>
        <v>Wird eine höhere Anzahl Veloabstellplätze erstellt als gesetzlich erforderlich ist? (z.B. beim Wohnen: 1 Veloparkplatz pro Zimmer; beim Büro 2 Veloparkplätze pro 10 Mitarbeitende oder gemäss Wegleitung des ASTRA berechnet)</v>
      </c>
      <c r="E824" s="1804"/>
      <c r="F824" s="1804"/>
      <c r="G824" s="1804"/>
      <c r="H824" s="1804"/>
      <c r="I824" s="1804"/>
      <c r="J824" s="1804"/>
      <c r="K824" s="1804"/>
      <c r="L824" s="1804"/>
      <c r="M824" s="1804"/>
      <c r="N824" s="1804"/>
      <c r="O824" s="1804"/>
      <c r="P824" s="1804"/>
      <c r="Q824" s="1"/>
      <c r="R824" s="1"/>
      <c r="S824" s="48"/>
      <c r="T824" s="1"/>
      <c r="U824" s="1"/>
      <c r="V824" s="1215"/>
      <c r="W824" s="1215"/>
      <c r="X824" s="1215"/>
      <c r="Y824" s="1217" t="str">
        <f>Text!C13</f>
        <v>Info [4]</v>
      </c>
    </row>
    <row r="825" spans="1:25" s="1204" customFormat="1" ht="15" hidden="1" customHeight="1">
      <c r="D825" s="1804"/>
      <c r="E825" s="1804"/>
      <c r="F825" s="1804"/>
      <c r="G825" s="1804"/>
      <c r="H825" s="1804"/>
      <c r="I825" s="1804"/>
      <c r="J825" s="1804"/>
      <c r="K825" s="1804"/>
      <c r="L825" s="1804"/>
      <c r="M825" s="1804"/>
      <c r="N825" s="1804"/>
      <c r="O825" s="1804"/>
      <c r="P825" s="1804"/>
      <c r="Q825" s="1"/>
      <c r="R825" s="1"/>
      <c r="S825" s="47"/>
      <c r="T825" s="1"/>
      <c r="U825" s="1"/>
    </row>
    <row r="826" spans="1:25" ht="15" customHeight="1">
      <c r="D826" s="124"/>
      <c r="E826" s="124"/>
      <c r="F826" s="124"/>
      <c r="G826" s="124"/>
      <c r="H826" s="124"/>
      <c r="I826" s="124"/>
      <c r="J826" s="124"/>
      <c r="K826" s="124"/>
      <c r="L826" s="124"/>
      <c r="M826" s="124"/>
      <c r="N826" s="124"/>
      <c r="O826" s="124"/>
      <c r="P826" s="125"/>
      <c r="S826" s="107"/>
      <c r="V826" s="21"/>
      <c r="W826" s="21"/>
      <c r="X826" s="21"/>
      <c r="Y826" s="165"/>
    </row>
    <row r="827" spans="1:25" s="1204" customFormat="1" ht="15" customHeight="1">
      <c r="A827" s="1212"/>
      <c r="B827" s="1205"/>
      <c r="C827" s="1213"/>
      <c r="D827" s="1804" t="str">
        <f>Text!C270</f>
        <v>Ist der Aufbau einer Ladeinfrastruktur für Elektromobilität sowohl für den motorisierten Individualverkehr wie auch für den Langsamverkehr geplant?</v>
      </c>
      <c r="E827" s="1804"/>
      <c r="F827" s="1804"/>
      <c r="G827" s="1804"/>
      <c r="H827" s="1804"/>
      <c r="I827" s="1804"/>
      <c r="J827" s="1804"/>
      <c r="K827" s="1804"/>
      <c r="L827" s="1804"/>
      <c r="M827" s="1804"/>
      <c r="N827" s="1804"/>
      <c r="O827" s="1804"/>
      <c r="P827" s="1804"/>
      <c r="Q827" s="1"/>
      <c r="R827" s="1"/>
      <c r="S827" s="48"/>
      <c r="T827" s="1"/>
      <c r="U827" s="1"/>
      <c r="V827" s="1215">
        <f>Text!B270</f>
        <v>336</v>
      </c>
      <c r="W827" s="1215"/>
      <c r="X827" s="1215"/>
      <c r="Y827" s="1217"/>
    </row>
    <row r="828" spans="1:25" s="1204" customFormat="1" ht="15" customHeight="1">
      <c r="D828" s="1804"/>
      <c r="E828" s="1804"/>
      <c r="F828" s="1804"/>
      <c r="G828" s="1804"/>
      <c r="H828" s="1804"/>
      <c r="I828" s="1804"/>
      <c r="J828" s="1804"/>
      <c r="K828" s="1804"/>
      <c r="L828" s="1804"/>
      <c r="M828" s="1804"/>
      <c r="N828" s="1804"/>
      <c r="O828" s="1804"/>
      <c r="P828" s="1804"/>
      <c r="Q828" s="1"/>
      <c r="R828" s="1"/>
      <c r="S828" s="47"/>
      <c r="T828" s="1"/>
      <c r="U828" s="1"/>
    </row>
    <row r="829" spans="1:25" ht="15" hidden="1" customHeight="1">
      <c r="D829" s="124"/>
      <c r="E829" s="124"/>
      <c r="F829" s="124"/>
      <c r="G829" s="124"/>
      <c r="H829" s="124"/>
      <c r="I829" s="124"/>
      <c r="J829" s="124"/>
      <c r="K829" s="124"/>
      <c r="L829" s="124"/>
      <c r="M829" s="124"/>
      <c r="N829" s="124"/>
      <c r="O829" s="124"/>
      <c r="P829" s="125"/>
      <c r="S829" s="107"/>
      <c r="V829" s="21"/>
      <c r="W829" s="21"/>
      <c r="X829" s="21"/>
      <c r="Y829" s="165"/>
    </row>
    <row r="830" spans="1:25" s="1204" customFormat="1" ht="15" hidden="1" customHeight="1">
      <c r="A830" s="1212"/>
      <c r="B830" s="1205"/>
      <c r="C830" s="1213"/>
      <c r="D830" s="1804" t="str">
        <f>Text!C271</f>
        <v>Werden die Gebäudezuleitungen ausreichend dimensioniert für die (spätere) Installation von Ladeinfrastruktur?</v>
      </c>
      <c r="E830" s="1804"/>
      <c r="F830" s="1804"/>
      <c r="G830" s="1804"/>
      <c r="H830" s="1804"/>
      <c r="I830" s="1804"/>
      <c r="J830" s="1804"/>
      <c r="K830" s="1804"/>
      <c r="L830" s="1804"/>
      <c r="M830" s="1804"/>
      <c r="N830" s="1804"/>
      <c r="O830" s="1804"/>
      <c r="P830" s="1804"/>
      <c r="Q830" s="1"/>
      <c r="R830" s="1"/>
      <c r="S830" s="48"/>
      <c r="T830" s="1"/>
      <c r="U830" s="1"/>
      <c r="V830" s="1215"/>
      <c r="W830" s="1215"/>
      <c r="X830" s="1215"/>
      <c r="Y830" s="1217"/>
    </row>
    <row r="831" spans="1:25" s="1204" customFormat="1" ht="15" hidden="1" customHeight="1">
      <c r="D831" s="1804"/>
      <c r="E831" s="1804"/>
      <c r="F831" s="1804"/>
      <c r="G831" s="1804"/>
      <c r="H831" s="1804"/>
      <c r="I831" s="1804"/>
      <c r="J831" s="1804"/>
      <c r="K831" s="1804"/>
      <c r="L831" s="1804"/>
      <c r="M831" s="1804"/>
      <c r="N831" s="1804"/>
      <c r="O831" s="1804"/>
      <c r="P831" s="1804"/>
      <c r="Q831" s="1"/>
      <c r="R831" s="1"/>
      <c r="S831" s="47"/>
      <c r="T831" s="1"/>
      <c r="U831" s="1"/>
    </row>
    <row r="832" spans="1:25" ht="15" hidden="1" customHeight="1">
      <c r="D832" s="13"/>
      <c r="E832" s="13"/>
      <c r="F832" s="13"/>
      <c r="G832" s="13"/>
      <c r="H832" s="13"/>
      <c r="I832" s="13"/>
      <c r="J832" s="13"/>
      <c r="K832" s="13"/>
      <c r="L832" s="13"/>
      <c r="M832" s="13"/>
      <c r="N832" s="13"/>
      <c r="O832" s="13"/>
      <c r="P832" s="125"/>
      <c r="S832" s="92"/>
      <c r="W832" s="46"/>
      <c r="X832" s="46"/>
      <c r="Y832" s="223"/>
    </row>
    <row r="833" spans="1:25 16384:16384" s="1204" customFormat="1" ht="15" hidden="1" customHeight="1">
      <c r="A833" s="1212"/>
      <c r="B833" s="1205"/>
      <c r="C833" s="1213"/>
      <c r="D833" s="1804" t="str">
        <f>Text!C272</f>
        <v>Erfolgt die elektrische Erschliessung bis zu den (künftigen) Ladepunkten oder Parkierungsflächen?</v>
      </c>
      <c r="E833" s="1804"/>
      <c r="F833" s="1804"/>
      <c r="G833" s="1804"/>
      <c r="H833" s="1804"/>
      <c r="I833" s="1804"/>
      <c r="J833" s="1804"/>
      <c r="K833" s="1804"/>
      <c r="L833" s="1804"/>
      <c r="M833" s="1804"/>
      <c r="N833" s="1804"/>
      <c r="O833" s="1804"/>
      <c r="P833" s="1804"/>
      <c r="Q833" s="1"/>
      <c r="R833" s="1"/>
      <c r="S833" s="48"/>
      <c r="T833" s="1"/>
      <c r="U833" s="1"/>
      <c r="V833" s="1215"/>
      <c r="W833" s="1215"/>
      <c r="X833" s="1215"/>
      <c r="Y833" s="1217"/>
    </row>
    <row r="834" spans="1:25 16384:16384" s="1204" customFormat="1" ht="15" hidden="1" customHeight="1">
      <c r="D834" s="1804"/>
      <c r="E834" s="1804"/>
      <c r="F834" s="1804"/>
      <c r="G834" s="1804"/>
      <c r="H834" s="1804"/>
      <c r="I834" s="1804"/>
      <c r="J834" s="1804"/>
      <c r="K834" s="1804"/>
      <c r="L834" s="1804"/>
      <c r="M834" s="1804"/>
      <c r="N834" s="1804"/>
      <c r="O834" s="1804"/>
      <c r="P834" s="1804"/>
      <c r="Q834" s="1"/>
      <c r="R834" s="1"/>
      <c r="S834" s="47"/>
      <c r="T834" s="1"/>
      <c r="U834" s="1"/>
    </row>
    <row r="835" spans="1:25 16384:16384" ht="15" hidden="1" customHeight="1">
      <c r="D835" s="124"/>
      <c r="E835" s="124"/>
      <c r="F835" s="124"/>
      <c r="G835" s="124"/>
      <c r="H835" s="124"/>
      <c r="I835" s="124"/>
      <c r="J835" s="124"/>
      <c r="K835" s="124"/>
      <c r="L835" s="124"/>
      <c r="M835" s="124"/>
      <c r="N835" s="124"/>
      <c r="O835" s="124"/>
      <c r="P835" s="125"/>
      <c r="S835" s="107"/>
      <c r="V835" s="21"/>
      <c r="W835" s="21"/>
      <c r="X835" s="21"/>
      <c r="Y835" s="165"/>
    </row>
    <row r="836" spans="1:25 16384:16384" s="1204" customFormat="1" ht="15" hidden="1" customHeight="1">
      <c r="A836" s="1212"/>
      <c r="B836" s="1205"/>
      <c r="C836" s="1213"/>
      <c r="D836" s="1804" t="str">
        <f>Text!C273</f>
        <v>Sind E-Bike-Ladepunkte vorgesehen oder befindet sich in unmittelbarer Nähe ein Angebot von E-Sharing (E-Bike oder E-Trottinett)?</v>
      </c>
      <c r="E836" s="1804"/>
      <c r="F836" s="1804"/>
      <c r="G836" s="1804"/>
      <c r="H836" s="1804"/>
      <c r="I836" s="1804"/>
      <c r="J836" s="1804"/>
      <c r="K836" s="1804"/>
      <c r="L836" s="1804"/>
      <c r="M836" s="1804"/>
      <c r="N836" s="1804"/>
      <c r="O836" s="1804"/>
      <c r="P836" s="1804"/>
      <c r="Q836" s="1"/>
      <c r="R836" s="1"/>
      <c r="S836" s="48"/>
      <c r="T836" s="1"/>
      <c r="U836" s="1"/>
      <c r="V836" s="1215"/>
      <c r="W836" s="1215"/>
      <c r="X836" s="1215"/>
      <c r="Y836" s="1217"/>
    </row>
    <row r="837" spans="1:25 16384:16384" s="1204" customFormat="1" ht="15" hidden="1" customHeight="1">
      <c r="D837" s="1804"/>
      <c r="E837" s="1804"/>
      <c r="F837" s="1804"/>
      <c r="G837" s="1804"/>
      <c r="H837" s="1804"/>
      <c r="I837" s="1804"/>
      <c r="J837" s="1804"/>
      <c r="K837" s="1804"/>
      <c r="L837" s="1804"/>
      <c r="M837" s="1804"/>
      <c r="N837" s="1804"/>
      <c r="O837" s="1804"/>
      <c r="P837" s="1804"/>
      <c r="Q837" s="1"/>
      <c r="R837" s="1"/>
      <c r="S837" s="47"/>
      <c r="T837" s="1"/>
      <c r="U837" s="1"/>
    </row>
    <row r="838" spans="1:25 16384:16384" ht="15" hidden="1" customHeight="1">
      <c r="D838" s="124"/>
      <c r="E838" s="124"/>
      <c r="F838" s="124"/>
      <c r="G838" s="124"/>
      <c r="H838" s="124"/>
      <c r="I838" s="124"/>
      <c r="J838" s="124"/>
      <c r="K838" s="124"/>
      <c r="L838" s="124"/>
      <c r="M838" s="124"/>
      <c r="N838" s="124"/>
      <c r="O838" s="124"/>
      <c r="P838" s="125"/>
      <c r="S838" s="107"/>
      <c r="V838" s="21"/>
      <c r="W838" s="21"/>
      <c r="X838" s="21"/>
      <c r="Y838" s="165"/>
    </row>
    <row r="839" spans="1:25 16384:16384" s="1204" customFormat="1" ht="15" hidden="1" customHeight="1">
      <c r="A839" s="1212"/>
      <c r="B839" s="1205"/>
      <c r="C839" s="1213"/>
      <c r="D839" s="1804" t="str">
        <f>Text!C274</f>
        <v>Unterstützt die geplante Ladeinfrastruktur bidirektionale Ladeströme?</v>
      </c>
      <c r="E839" s="1804"/>
      <c r="F839" s="1804"/>
      <c r="G839" s="1804"/>
      <c r="H839" s="1804"/>
      <c r="I839" s="1804"/>
      <c r="J839" s="1804"/>
      <c r="K839" s="1804"/>
      <c r="L839" s="1804"/>
      <c r="M839" s="1804"/>
      <c r="N839" s="1804"/>
      <c r="O839" s="1804"/>
      <c r="P839" s="1804"/>
      <c r="Q839" s="1"/>
      <c r="R839" s="1"/>
      <c r="S839" s="48"/>
      <c r="T839" s="1"/>
      <c r="U839" s="1"/>
      <c r="V839" s="1215"/>
      <c r="W839" s="1215"/>
      <c r="X839" s="1215"/>
      <c r="Y839" s="1217"/>
    </row>
    <row r="840" spans="1:25 16384:16384" s="1204" customFormat="1" ht="15" hidden="1" customHeight="1">
      <c r="D840" s="1804"/>
      <c r="E840" s="1804"/>
      <c r="F840" s="1804"/>
      <c r="G840" s="1804"/>
      <c r="H840" s="1804"/>
      <c r="I840" s="1804"/>
      <c r="J840" s="1804"/>
      <c r="K840" s="1804"/>
      <c r="L840" s="1804"/>
      <c r="M840" s="1804"/>
      <c r="N840" s="1804"/>
      <c r="O840" s="1804"/>
      <c r="P840" s="1804"/>
      <c r="Q840" s="1"/>
      <c r="R840" s="1"/>
      <c r="S840" s="47"/>
      <c r="T840" s="1"/>
      <c r="U840" s="1"/>
    </row>
    <row r="841" spans="1:25 16384:16384" ht="60" customHeight="1">
      <c r="B841" s="789"/>
      <c r="S841" s="92"/>
      <c r="W841" s="46"/>
      <c r="X841" s="46"/>
      <c r="Y841" s="223"/>
    </row>
    <row r="842" spans="1:25 16384:16384" s="37" customFormat="1">
      <c r="A842" s="1204"/>
      <c r="B842" s="1205"/>
      <c r="C842" s="1206"/>
      <c r="D842" s="1204"/>
      <c r="E842" s="1204"/>
      <c r="F842" s="1204"/>
      <c r="G842" s="1204"/>
      <c r="H842" s="1204"/>
      <c r="I842" s="1204"/>
      <c r="J842" s="1204"/>
      <c r="K842" s="1204"/>
      <c r="L842" s="1204"/>
      <c r="M842" s="1204"/>
      <c r="N842" s="1204"/>
      <c r="O842" s="1204"/>
      <c r="P842" s="1206"/>
      <c r="Q842" s="1206"/>
      <c r="R842" s="1206"/>
      <c r="S842" s="1207"/>
      <c r="T842" s="1204"/>
      <c r="U842" s="1204"/>
      <c r="V842" s="1208"/>
      <c r="W842" s="1209"/>
      <c r="X842" s="1209"/>
      <c r="Y842" s="1210"/>
      <c r="XFD842" s="1204"/>
    </row>
    <row r="843" spans="1:25 16384:16384" s="37" customFormat="1" ht="18.5">
      <c r="A843" s="1204"/>
      <c r="B843" s="1205"/>
      <c r="C843" s="1206"/>
      <c r="D843" s="1204"/>
      <c r="E843" s="1204"/>
      <c r="F843" s="1204"/>
      <c r="G843" s="1204"/>
      <c r="H843" s="1204"/>
      <c r="I843" s="1809" t="str">
        <f>Text!C275</f>
        <v>Natur und Landschaft</v>
      </c>
      <c r="J843" s="1809"/>
      <c r="K843" s="1809"/>
      <c r="L843" s="1809"/>
      <c r="M843" s="1809"/>
      <c r="N843" s="1809"/>
      <c r="O843" s="1809"/>
      <c r="P843" s="1809"/>
      <c r="Q843" s="1206"/>
      <c r="R843" s="1206"/>
      <c r="S843" s="1207"/>
      <c r="T843" s="1204"/>
      <c r="U843" s="1204"/>
      <c r="V843" s="1208"/>
      <c r="W843" s="1209"/>
      <c r="X843" s="1209"/>
      <c r="Y843" s="1210"/>
      <c r="XFD843" s="1204"/>
    </row>
    <row r="844" spans="1:25 16384:16384" s="37" customFormat="1" ht="15" customHeight="1">
      <c r="A844" s="1204"/>
      <c r="B844" s="1205"/>
      <c r="C844" s="1206"/>
      <c r="D844" s="1204"/>
      <c r="E844" s="1204"/>
      <c r="F844" s="1204"/>
      <c r="G844" s="1204"/>
      <c r="H844" s="1204"/>
      <c r="I844" s="1211"/>
      <c r="J844" s="1211"/>
      <c r="K844" s="1211"/>
      <c r="L844" s="1211"/>
      <c r="M844" s="1211"/>
      <c r="N844" s="1211"/>
      <c r="O844" s="1211"/>
      <c r="P844" s="1211"/>
      <c r="Q844" s="1206"/>
      <c r="R844" s="1206"/>
      <c r="S844" s="1207"/>
      <c r="T844" s="1204"/>
      <c r="U844" s="1204"/>
      <c r="V844" s="1208"/>
      <c r="W844" s="1209"/>
      <c r="X844" s="1209"/>
      <c r="Y844" s="1210"/>
      <c r="XFD844" s="1204"/>
    </row>
    <row r="845" spans="1:25 16384:16384" ht="15" customHeight="1">
      <c r="D845" s="124"/>
      <c r="E845" s="124"/>
      <c r="F845" s="124"/>
      <c r="G845" s="124"/>
      <c r="H845" s="124"/>
      <c r="I845" s="124"/>
      <c r="J845" s="124"/>
      <c r="K845" s="124"/>
      <c r="L845" s="124"/>
      <c r="M845" s="124"/>
      <c r="N845" s="124"/>
      <c r="O845" s="124"/>
      <c r="P845" s="125"/>
      <c r="S845" s="107"/>
      <c r="V845" s="21"/>
      <c r="W845" s="21"/>
      <c r="X845" s="21"/>
      <c r="Y845" s="165"/>
    </row>
    <row r="846" spans="1:25 16384:16384" s="1204" customFormat="1" ht="15" customHeight="1">
      <c r="A846" s="1212"/>
      <c r="B846" s="1205">
        <v>1</v>
      </c>
      <c r="C846" s="1213"/>
      <c r="D846" s="1804" t="str">
        <f>Text!C276</f>
        <v>Wird durch den Beizug einer Fachperson das natürliche Potenzial an Flora und Fauna ausgeschöpft, um den Schutz heimischer Tier- und Pflanzenarten sicherzustellen?</v>
      </c>
      <c r="E846" s="1804"/>
      <c r="F846" s="1804"/>
      <c r="G846" s="1804"/>
      <c r="H846" s="1804"/>
      <c r="I846" s="1804"/>
      <c r="J846" s="1804"/>
      <c r="K846" s="1804"/>
      <c r="L846" s="1804"/>
      <c r="M846" s="1804"/>
      <c r="N846" s="1804"/>
      <c r="O846" s="1804"/>
      <c r="P846" s="1804"/>
      <c r="Q846" s="1"/>
      <c r="R846" s="1"/>
      <c r="S846" s="48"/>
      <c r="T846" s="1"/>
      <c r="U846" s="1"/>
      <c r="V846" s="1215">
        <f>Text!B276</f>
        <v>341</v>
      </c>
      <c r="W846" s="1215"/>
      <c r="X846" s="1215"/>
      <c r="Y846" s="1217"/>
    </row>
    <row r="847" spans="1:25 16384:16384" s="1204" customFormat="1" ht="15" customHeight="1">
      <c r="D847" s="1804"/>
      <c r="E847" s="1804"/>
      <c r="F847" s="1804"/>
      <c r="G847" s="1804"/>
      <c r="H847" s="1804"/>
      <c r="I847" s="1804"/>
      <c r="J847" s="1804"/>
      <c r="K847" s="1804"/>
      <c r="L847" s="1804"/>
      <c r="M847" s="1804"/>
      <c r="N847" s="1804"/>
      <c r="O847" s="1804"/>
      <c r="P847" s="1804"/>
      <c r="Q847" s="1"/>
      <c r="R847" s="1"/>
      <c r="S847" s="47"/>
      <c r="T847" s="1"/>
      <c r="U847" s="1"/>
    </row>
    <row r="848" spans="1:25 16384:16384" ht="15" hidden="1" customHeight="1">
      <c r="D848" s="13"/>
      <c r="E848" s="13"/>
      <c r="F848" s="13"/>
      <c r="G848" s="13"/>
      <c r="H848" s="13"/>
      <c r="I848" s="13"/>
      <c r="J848" s="13"/>
      <c r="K848" s="13"/>
      <c r="L848" s="13"/>
      <c r="M848" s="13"/>
      <c r="N848" s="13"/>
      <c r="O848" s="13"/>
      <c r="P848" s="125"/>
      <c r="S848" s="92"/>
      <c r="W848" s="46"/>
      <c r="X848" s="46"/>
      <c r="Y848" s="223"/>
    </row>
    <row r="849" spans="1:25" s="1204" customFormat="1" ht="15" hidden="1" customHeight="1">
      <c r="A849" s="1212"/>
      <c r="B849" s="1205" t="s">
        <v>18</v>
      </c>
      <c r="C849" s="1213"/>
      <c r="D849" s="1804" t="str">
        <f>Text!C277</f>
        <v>Wird eine Analyse von vorhandenen Naturwerten in der Umgebung (inventarisierte Flächen, seltene und geschützte Arten) durchgeführt?</v>
      </c>
      <c r="E849" s="1804"/>
      <c r="F849" s="1804"/>
      <c r="G849" s="1804"/>
      <c r="H849" s="1804"/>
      <c r="I849" s="1804"/>
      <c r="J849" s="1804"/>
      <c r="K849" s="1804"/>
      <c r="L849" s="1804"/>
      <c r="M849" s="1804"/>
      <c r="N849" s="1804"/>
      <c r="O849" s="1804"/>
      <c r="P849" s="1804"/>
      <c r="Q849" s="1"/>
      <c r="R849" s="1"/>
      <c r="S849" s="48"/>
      <c r="T849" s="1"/>
      <c r="U849" s="1"/>
      <c r="V849" s="1215"/>
      <c r="W849" s="1215"/>
      <c r="X849" s="1215"/>
      <c r="Y849" s="1217"/>
    </row>
    <row r="850" spans="1:25" s="1204" customFormat="1" ht="15" hidden="1" customHeight="1">
      <c r="D850" s="1804"/>
      <c r="E850" s="1804"/>
      <c r="F850" s="1804"/>
      <c r="G850" s="1804"/>
      <c r="H850" s="1804"/>
      <c r="I850" s="1804"/>
      <c r="J850" s="1804"/>
      <c r="K850" s="1804"/>
      <c r="L850" s="1804"/>
      <c r="M850" s="1804"/>
      <c r="N850" s="1804"/>
      <c r="O850" s="1804"/>
      <c r="P850" s="1804"/>
      <c r="Q850" s="1"/>
      <c r="R850" s="1"/>
      <c r="S850" s="47"/>
      <c r="T850" s="1"/>
      <c r="U850" s="1"/>
    </row>
    <row r="851" spans="1:25" ht="15" hidden="1" customHeight="1">
      <c r="D851" s="124"/>
      <c r="E851" s="124"/>
      <c r="F851" s="124"/>
      <c r="G851" s="124"/>
      <c r="H851" s="124"/>
      <c r="I851" s="124"/>
      <c r="J851" s="124"/>
      <c r="K851" s="124"/>
      <c r="L851" s="124"/>
      <c r="M851" s="124"/>
      <c r="N851" s="124"/>
      <c r="O851" s="124"/>
      <c r="P851" s="125"/>
      <c r="S851" s="107"/>
      <c r="V851" s="21"/>
      <c r="W851" s="21"/>
      <c r="X851" s="21"/>
      <c r="Y851" s="165"/>
    </row>
    <row r="852" spans="1:25" s="1204" customFormat="1" ht="15" hidden="1" customHeight="1">
      <c r="A852" s="1212"/>
      <c r="B852" s="1205" t="s">
        <v>17</v>
      </c>
      <c r="C852" s="1213"/>
      <c r="D852" s="1804" t="str">
        <f>Text!C278</f>
        <v>Werden Lebensräume für heimische Tierarten in der Umgebung geschaffen und geschützt?</v>
      </c>
      <c r="E852" s="1804"/>
      <c r="F852" s="1804"/>
      <c r="G852" s="1804"/>
      <c r="H852" s="1804"/>
      <c r="I852" s="1804"/>
      <c r="J852" s="1804"/>
      <c r="K852" s="1804"/>
      <c r="L852" s="1804"/>
      <c r="M852" s="1804"/>
      <c r="N852" s="1804"/>
      <c r="O852" s="1804"/>
      <c r="P852" s="1804"/>
      <c r="Q852" s="1"/>
      <c r="R852" s="1"/>
      <c r="S852" s="48"/>
      <c r="T852" s="1"/>
      <c r="U852" s="1"/>
      <c r="V852" s="1215"/>
      <c r="W852" s="1215"/>
      <c r="X852" s="1215"/>
      <c r="Y852" s="1217"/>
    </row>
    <row r="853" spans="1:25" s="1204" customFormat="1" ht="15" hidden="1" customHeight="1">
      <c r="D853" s="1804"/>
      <c r="E853" s="1804"/>
      <c r="F853" s="1804"/>
      <c r="G853" s="1804"/>
      <c r="H853" s="1804"/>
      <c r="I853" s="1804"/>
      <c r="J853" s="1804"/>
      <c r="K853" s="1804"/>
      <c r="L853" s="1804"/>
      <c r="M853" s="1804"/>
      <c r="N853" s="1804"/>
      <c r="O853" s="1804"/>
      <c r="P853" s="1804"/>
      <c r="Q853" s="1"/>
      <c r="R853" s="1"/>
      <c r="S853" s="47"/>
      <c r="T853" s="1"/>
      <c r="U853" s="1"/>
    </row>
    <row r="854" spans="1:25" ht="15" hidden="1" customHeight="1">
      <c r="D854" s="13"/>
      <c r="E854" s="13"/>
      <c r="F854" s="13"/>
      <c r="G854" s="13"/>
      <c r="H854" s="13"/>
      <c r="I854" s="13"/>
      <c r="J854" s="13"/>
      <c r="K854" s="13"/>
      <c r="L854" s="13"/>
      <c r="M854" s="13"/>
      <c r="N854" s="13"/>
      <c r="O854" s="13"/>
      <c r="P854" s="125"/>
      <c r="S854" s="92"/>
      <c r="W854" s="46"/>
      <c r="X854" s="46"/>
      <c r="Y854" s="223"/>
    </row>
    <row r="855" spans="1:25" s="1204" customFormat="1" ht="15" hidden="1" customHeight="1">
      <c r="A855" s="1212"/>
      <c r="B855" s="1205" t="s">
        <v>18</v>
      </c>
      <c r="C855" s="1213"/>
      <c r="D855" s="1804" t="str">
        <f>Text!C279</f>
        <v>Werden mindestens 50 % der Umgebungs- und Dachflächen als naturnahen Lebensräumen gestaltet? (dazu gehören z. B. Gewässer, Hecken, Bäume, artenreiche Wiesen, Ruderalflächen, naturnah begrünte Dachflächen mit mind. 12 cm Substratstärke usw.)</v>
      </c>
      <c r="E855" s="1804"/>
      <c r="F855" s="1804"/>
      <c r="G855" s="1804"/>
      <c r="H855" s="1804"/>
      <c r="I855" s="1804"/>
      <c r="J855" s="1804"/>
      <c r="K855" s="1804"/>
      <c r="L855" s="1804"/>
      <c r="M855" s="1804"/>
      <c r="N855" s="1804"/>
      <c r="O855" s="1804"/>
      <c r="P855" s="1804"/>
      <c r="Q855" s="1"/>
      <c r="R855" s="1"/>
      <c r="S855" s="48"/>
      <c r="T855" s="1"/>
      <c r="U855" s="1"/>
      <c r="V855" s="1215"/>
      <c r="W855" s="1215"/>
      <c r="X855" s="1215"/>
      <c r="Y855" s="1217"/>
    </row>
    <row r="856" spans="1:25" s="1204" customFormat="1" ht="15" hidden="1" customHeight="1">
      <c r="D856" s="1804"/>
      <c r="E856" s="1804"/>
      <c r="F856" s="1804"/>
      <c r="G856" s="1804"/>
      <c r="H856" s="1804"/>
      <c r="I856" s="1804"/>
      <c r="J856" s="1804"/>
      <c r="K856" s="1804"/>
      <c r="L856" s="1804"/>
      <c r="M856" s="1804"/>
      <c r="N856" s="1804"/>
      <c r="O856" s="1804"/>
      <c r="P856" s="1804"/>
      <c r="Q856" s="1"/>
      <c r="R856" s="1"/>
      <c r="S856" s="47"/>
      <c r="T856" s="1"/>
      <c r="U856" s="1"/>
    </row>
    <row r="857" spans="1:25" ht="15" hidden="1" customHeight="1">
      <c r="D857" s="124"/>
      <c r="E857" s="124"/>
      <c r="F857" s="124"/>
      <c r="G857" s="124"/>
      <c r="H857" s="124"/>
      <c r="I857" s="124"/>
      <c r="J857" s="124"/>
      <c r="K857" s="124"/>
      <c r="L857" s="124"/>
      <c r="M857" s="124"/>
      <c r="N857" s="124"/>
      <c r="O857" s="124"/>
      <c r="P857" s="125"/>
      <c r="S857" s="107"/>
      <c r="V857" s="21"/>
      <c r="W857" s="21"/>
      <c r="X857" s="21"/>
      <c r="Y857" s="165"/>
    </row>
    <row r="858" spans="1:25" s="1204" customFormat="1" ht="15" hidden="1" customHeight="1">
      <c r="A858" s="1212"/>
      <c r="B858" s="1205" t="s">
        <v>17</v>
      </c>
      <c r="C858" s="1213"/>
      <c r="D858" s="1804" t="str">
        <f>Text!C280</f>
        <v>Erfolgt die Bepflanzung der Umgebungs-, Dach- und Fassadenflächen mit einheimischen und standortgerechten Arten?</v>
      </c>
      <c r="E858" s="1804"/>
      <c r="F858" s="1804"/>
      <c r="G858" s="1804"/>
      <c r="H858" s="1804"/>
      <c r="I858" s="1804"/>
      <c r="J858" s="1804"/>
      <c r="K858" s="1804"/>
      <c r="L858" s="1804"/>
      <c r="M858" s="1804"/>
      <c r="N858" s="1804"/>
      <c r="O858" s="1804"/>
      <c r="P858" s="1804"/>
      <c r="Q858" s="1"/>
      <c r="R858" s="1"/>
      <c r="S858" s="48"/>
      <c r="T858" s="1"/>
      <c r="U858" s="1"/>
      <c r="V858" s="1215"/>
      <c r="W858" s="1215"/>
      <c r="X858" s="1215"/>
      <c r="Y858" s="1217"/>
    </row>
    <row r="859" spans="1:25" s="1204" customFormat="1" ht="15" hidden="1" customHeight="1">
      <c r="D859" s="1804"/>
      <c r="E859" s="1804"/>
      <c r="F859" s="1804"/>
      <c r="G859" s="1804"/>
      <c r="H859" s="1804"/>
      <c r="I859" s="1804"/>
      <c r="J859" s="1804"/>
      <c r="K859" s="1804"/>
      <c r="L859" s="1804"/>
      <c r="M859" s="1804"/>
      <c r="N859" s="1804"/>
      <c r="O859" s="1804"/>
      <c r="P859" s="1804"/>
      <c r="Q859" s="1"/>
      <c r="R859" s="1"/>
      <c r="S859" s="47"/>
      <c r="T859" s="1"/>
      <c r="U859" s="1"/>
    </row>
    <row r="860" spans="1:25" ht="15" hidden="1" customHeight="1">
      <c r="D860" s="13"/>
      <c r="E860" s="13"/>
      <c r="F860" s="13"/>
      <c r="G860" s="13"/>
      <c r="H860" s="13"/>
      <c r="I860" s="13"/>
      <c r="J860" s="13"/>
      <c r="K860" s="13"/>
      <c r="L860" s="13"/>
      <c r="M860" s="13"/>
      <c r="N860" s="13"/>
      <c r="O860" s="13"/>
      <c r="P860" s="125"/>
      <c r="S860" s="92"/>
      <c r="W860" s="46"/>
      <c r="X860" s="46"/>
      <c r="Y860" s="223"/>
    </row>
    <row r="861" spans="1:25" s="1204" customFormat="1" ht="15" hidden="1" customHeight="1">
      <c r="A861" s="1212"/>
      <c r="B861" s="1205" t="s">
        <v>18</v>
      </c>
      <c r="C861" s="1213"/>
      <c r="D861" s="1804" t="str">
        <f>Text!C281</f>
        <v>Werden auf mindestens 10 % der Umgebungsflächen Gehölzbestände (Hecken, Baumreihen, und -gruppen) aus ausschliesslich einheimischen, standortgerechten und klimawandelfähigen Arten vorgesehen?</v>
      </c>
      <c r="E861" s="1804"/>
      <c r="F861" s="1804"/>
      <c r="G861" s="1804"/>
      <c r="H861" s="1804"/>
      <c r="I861" s="1804"/>
      <c r="J861" s="1804"/>
      <c r="K861" s="1804"/>
      <c r="L861" s="1804"/>
      <c r="M861" s="1804"/>
      <c r="N861" s="1804"/>
      <c r="O861" s="1804"/>
      <c r="P861" s="1804"/>
      <c r="Q861" s="1"/>
      <c r="R861" s="1"/>
      <c r="S861" s="48"/>
      <c r="T861" s="1"/>
      <c r="U861" s="1"/>
      <c r="V861" s="1215"/>
      <c r="W861" s="1215"/>
      <c r="X861" s="1215"/>
      <c r="Y861" s="1217"/>
    </row>
    <row r="862" spans="1:25" s="1204" customFormat="1" ht="15" hidden="1" customHeight="1">
      <c r="D862" s="1804"/>
      <c r="E862" s="1804"/>
      <c r="F862" s="1804"/>
      <c r="G862" s="1804"/>
      <c r="H862" s="1804"/>
      <c r="I862" s="1804"/>
      <c r="J862" s="1804"/>
      <c r="K862" s="1804"/>
      <c r="L862" s="1804"/>
      <c r="M862" s="1804"/>
      <c r="N862" s="1804"/>
      <c r="O862" s="1804"/>
      <c r="P862" s="1804"/>
      <c r="Q862" s="1"/>
      <c r="R862" s="1"/>
      <c r="S862" s="47"/>
      <c r="T862" s="1"/>
      <c r="U862" s="1"/>
    </row>
    <row r="863" spans="1:25" ht="15" hidden="1" customHeight="1">
      <c r="D863" s="124"/>
      <c r="E863" s="124"/>
      <c r="F863" s="124"/>
      <c r="G863" s="124"/>
      <c r="H863" s="124"/>
      <c r="I863" s="124"/>
      <c r="J863" s="124"/>
      <c r="K863" s="124"/>
      <c r="L863" s="124"/>
      <c r="M863" s="124"/>
      <c r="N863" s="124"/>
      <c r="O863" s="124"/>
      <c r="P863" s="125"/>
      <c r="S863" s="107"/>
      <c r="V863" s="21"/>
      <c r="W863" s="21"/>
      <c r="X863" s="21"/>
      <c r="Y863" s="165"/>
    </row>
    <row r="864" spans="1:25" s="1204" customFormat="1" ht="15" hidden="1" customHeight="1">
      <c r="A864" s="1212"/>
      <c r="B864" s="1205" t="s">
        <v>17</v>
      </c>
      <c r="C864" s="1213"/>
      <c r="D864" s="1804" t="str">
        <f>Text!C282</f>
        <v>Werden Barrieren für Kleintiere an der Parzellengrenze (z. B. Mauern, engmaschige Zäune bis zum Boden) und Tierfallen bewusst vermieden?</v>
      </c>
      <c r="E864" s="1804"/>
      <c r="F864" s="1804"/>
      <c r="G864" s="1804"/>
      <c r="H864" s="1804"/>
      <c r="I864" s="1804"/>
      <c r="J864" s="1804"/>
      <c r="K864" s="1804"/>
      <c r="L864" s="1804"/>
      <c r="M864" s="1804"/>
      <c r="N864" s="1804"/>
      <c r="O864" s="1804"/>
      <c r="P864" s="1804"/>
      <c r="Q864" s="1"/>
      <c r="R864" s="1"/>
      <c r="S864" s="48"/>
      <c r="T864" s="1"/>
      <c r="U864" s="1"/>
      <c r="V864" s="1215"/>
      <c r="W864" s="1215"/>
      <c r="X864" s="1215"/>
      <c r="Y864" s="1217"/>
    </row>
    <row r="865" spans="1:25" s="1204" customFormat="1" ht="15" hidden="1" customHeight="1">
      <c r="D865" s="1804"/>
      <c r="E865" s="1804"/>
      <c r="F865" s="1804"/>
      <c r="G865" s="1804"/>
      <c r="H865" s="1804"/>
      <c r="I865" s="1804"/>
      <c r="J865" s="1804"/>
      <c r="K865" s="1804"/>
      <c r="L865" s="1804"/>
      <c r="M865" s="1804"/>
      <c r="N865" s="1804"/>
      <c r="O865" s="1804"/>
      <c r="P865" s="1804"/>
      <c r="Q865" s="1"/>
      <c r="R865" s="1"/>
      <c r="S865" s="47"/>
      <c r="T865" s="1"/>
      <c r="U865" s="1"/>
    </row>
    <row r="866" spans="1:25" ht="15" customHeight="1">
      <c r="D866" s="13"/>
      <c r="E866" s="13"/>
      <c r="F866" s="13"/>
      <c r="G866" s="13"/>
      <c r="H866" s="13"/>
      <c r="I866" s="13"/>
      <c r="J866" s="13"/>
      <c r="K866" s="13"/>
      <c r="L866" s="13"/>
      <c r="M866" s="13"/>
      <c r="N866" s="13"/>
      <c r="O866" s="13"/>
      <c r="P866" s="125"/>
      <c r="S866" s="92"/>
      <c r="W866" s="46"/>
      <c r="X866" s="46"/>
      <c r="Y866" s="223"/>
    </row>
    <row r="867" spans="1:25" s="1204" customFormat="1" ht="15" customHeight="1">
      <c r="A867" s="1212"/>
      <c r="B867" s="1205" t="s">
        <v>18</v>
      </c>
      <c r="C867" s="1213"/>
      <c r="D867" s="1804" t="str">
        <f>Text!C283</f>
        <v>Wird beim Bauprojekt ein naturnaher Umgang mit der Ressource Wasser gefördert, indem die Einleitung von Niederschlagwasser in die Kanalisation sowie von Schadstoffen ins Grundwasser bewusst vermieden werden und Massnahmen zur Einsparung von Trinkwasser ergriffen werden?</v>
      </c>
      <c r="E867" s="1804"/>
      <c r="F867" s="1804"/>
      <c r="G867" s="1804"/>
      <c r="H867" s="1804"/>
      <c r="I867" s="1804"/>
      <c r="J867" s="1804"/>
      <c r="K867" s="1804"/>
      <c r="L867" s="1804"/>
      <c r="M867" s="1804"/>
      <c r="N867" s="1804"/>
      <c r="O867" s="1804"/>
      <c r="P867" s="1804"/>
      <c r="Q867" s="1"/>
      <c r="R867" s="1"/>
      <c r="S867" s="48"/>
      <c r="T867" s="1"/>
      <c r="U867" s="1"/>
      <c r="V867" s="1215">
        <f>Text!B283</f>
        <v>342</v>
      </c>
      <c r="W867" s="1215"/>
      <c r="X867" s="1215"/>
      <c r="Y867" s="1217"/>
    </row>
    <row r="868" spans="1:25" s="1204" customFormat="1" ht="15" customHeight="1">
      <c r="D868" s="1804"/>
      <c r="E868" s="1804"/>
      <c r="F868" s="1804"/>
      <c r="G868" s="1804"/>
      <c r="H868" s="1804"/>
      <c r="I868" s="1804"/>
      <c r="J868" s="1804"/>
      <c r="K868" s="1804"/>
      <c r="L868" s="1804"/>
      <c r="M868" s="1804"/>
      <c r="N868" s="1804"/>
      <c r="O868" s="1804"/>
      <c r="P868" s="1804"/>
      <c r="Q868" s="1"/>
      <c r="R868" s="1"/>
      <c r="S868" s="47"/>
      <c r="T868" s="1"/>
      <c r="U868" s="1"/>
    </row>
    <row r="869" spans="1:25" ht="15" hidden="1" customHeight="1">
      <c r="D869" s="124"/>
      <c r="E869" s="124"/>
      <c r="F869" s="124"/>
      <c r="G869" s="124"/>
      <c r="H869" s="124"/>
      <c r="I869" s="124"/>
      <c r="J869" s="124"/>
      <c r="K869" s="124"/>
      <c r="L869" s="124"/>
      <c r="M869" s="124"/>
      <c r="N869" s="124"/>
      <c r="O869" s="124"/>
      <c r="P869" s="125"/>
      <c r="S869" s="107"/>
      <c r="V869" s="21"/>
      <c r="W869" s="21"/>
      <c r="X869" s="21"/>
      <c r="Y869" s="165"/>
    </row>
    <row r="870" spans="1:25" s="1204" customFormat="1" ht="15" hidden="1" customHeight="1">
      <c r="A870" s="1212"/>
      <c r="B870" s="1205" t="s">
        <v>17</v>
      </c>
      <c r="C870" s="1213"/>
      <c r="D870" s="1804" t="str">
        <f>Text!C284</f>
        <v>Kann das Niederschlagswasser auf der Parzelle und Umgebungsflächen in den Untergrund geführt werden? (z. B. oberirdisch über begrünte Flächen, humusierte Mulden oder unterirdisch über Rigolen, Regenrückhaltebecken)</v>
      </c>
      <c r="E870" s="1804"/>
      <c r="F870" s="1804"/>
      <c r="G870" s="1804"/>
      <c r="H870" s="1804"/>
      <c r="I870" s="1804"/>
      <c r="J870" s="1804"/>
      <c r="K870" s="1804"/>
      <c r="L870" s="1804"/>
      <c r="M870" s="1804"/>
      <c r="N870" s="1804"/>
      <c r="O870" s="1804"/>
      <c r="P870" s="1804"/>
      <c r="Q870" s="1"/>
      <c r="R870" s="1"/>
      <c r="S870" s="48"/>
      <c r="T870" s="1"/>
      <c r="U870" s="1"/>
      <c r="V870" s="1215"/>
      <c r="W870" s="1215"/>
      <c r="X870" s="1215"/>
      <c r="Y870" s="1217"/>
    </row>
    <row r="871" spans="1:25" s="1204" customFormat="1" ht="15" hidden="1" customHeight="1">
      <c r="D871" s="1804"/>
      <c r="E871" s="1804"/>
      <c r="F871" s="1804"/>
      <c r="G871" s="1804"/>
      <c r="H871" s="1804"/>
      <c r="I871" s="1804"/>
      <c r="J871" s="1804"/>
      <c r="K871" s="1804"/>
      <c r="L871" s="1804"/>
      <c r="M871" s="1804"/>
      <c r="N871" s="1804"/>
      <c r="O871" s="1804"/>
      <c r="P871" s="1804"/>
      <c r="Q871" s="1"/>
      <c r="R871" s="1"/>
      <c r="S871" s="47"/>
      <c r="T871" s="1"/>
      <c r="U871" s="1"/>
    </row>
    <row r="872" spans="1:25" ht="15" hidden="1" customHeight="1">
      <c r="D872" s="13"/>
      <c r="E872" s="13"/>
      <c r="F872" s="13"/>
      <c r="G872" s="13"/>
      <c r="H872" s="13"/>
      <c r="I872" s="13"/>
      <c r="J872" s="13"/>
      <c r="K872" s="13"/>
      <c r="L872" s="13"/>
      <c r="M872" s="13"/>
      <c r="N872" s="13"/>
      <c r="O872" s="13"/>
      <c r="P872" s="125"/>
      <c r="S872" s="92"/>
      <c r="W872" s="46"/>
      <c r="X872" s="46"/>
      <c r="Y872" s="223"/>
    </row>
    <row r="873" spans="1:25" s="1204" customFormat="1" ht="15" hidden="1" customHeight="1">
      <c r="A873" s="1212"/>
      <c r="B873" s="1205" t="s">
        <v>18</v>
      </c>
      <c r="C873" s="1213"/>
      <c r="D873" s="1804" t="str">
        <f>Text!C285</f>
        <v>Sind oberirdische Retentionsanlagen vorgesehen? (z. B. Dachbegrünung, Regenrückhaltebecken, Retentionsmulden)</v>
      </c>
      <c r="E873" s="1804"/>
      <c r="F873" s="1804"/>
      <c r="G873" s="1804"/>
      <c r="H873" s="1804"/>
      <c r="I873" s="1804"/>
      <c r="J873" s="1804"/>
      <c r="K873" s="1804"/>
      <c r="L873" s="1804"/>
      <c r="M873" s="1804"/>
      <c r="N873" s="1804"/>
      <c r="O873" s="1804"/>
      <c r="P873" s="1804"/>
      <c r="Q873" s="1"/>
      <c r="R873" s="1"/>
      <c r="S873" s="48"/>
      <c r="T873" s="1"/>
      <c r="U873" s="1"/>
      <c r="V873" s="1215"/>
      <c r="W873" s="1215"/>
      <c r="X873" s="1215"/>
      <c r="Y873" s="1217"/>
    </row>
    <row r="874" spans="1:25" s="1204" customFormat="1" ht="15" hidden="1" customHeight="1">
      <c r="D874" s="1804"/>
      <c r="E874" s="1804"/>
      <c r="F874" s="1804"/>
      <c r="G874" s="1804"/>
      <c r="H874" s="1804"/>
      <c r="I874" s="1804"/>
      <c r="J874" s="1804"/>
      <c r="K874" s="1804"/>
      <c r="L874" s="1804"/>
      <c r="M874" s="1804"/>
      <c r="N874" s="1804"/>
      <c r="O874" s="1804"/>
      <c r="P874" s="1804"/>
      <c r="Q874" s="1"/>
      <c r="R874" s="1"/>
      <c r="S874" s="47"/>
      <c r="T874" s="1"/>
      <c r="U874" s="1"/>
    </row>
    <row r="875" spans="1:25" ht="15" hidden="1" customHeight="1">
      <c r="D875" s="124"/>
      <c r="E875" s="124"/>
      <c r="F875" s="124"/>
      <c r="G875" s="124"/>
      <c r="H875" s="124"/>
      <c r="I875" s="124"/>
      <c r="J875" s="124"/>
      <c r="K875" s="124"/>
      <c r="L875" s="124"/>
      <c r="M875" s="124"/>
      <c r="N875" s="124"/>
      <c r="O875" s="124"/>
      <c r="P875" s="125"/>
      <c r="S875" s="107"/>
      <c r="V875" s="21"/>
      <c r="W875" s="21"/>
      <c r="X875" s="21"/>
      <c r="Y875" s="165"/>
    </row>
    <row r="876" spans="1:25" s="1204" customFormat="1" ht="15" hidden="1" customHeight="1">
      <c r="A876" s="1212"/>
      <c r="B876" s="1205" t="s">
        <v>17</v>
      </c>
      <c r="C876" s="1213"/>
      <c r="D876" s="1804" t="str">
        <f>Text!C286</f>
        <v>Wird Niederschlagwasser bewusst in unter- oder oberirdischen Behältern gesammelt (z. B. Zisternen, Regentonnen) und wieder genutzt (z. B. für WC-Spülung, Pflanzengiessen oder Kühlwasser)?</v>
      </c>
      <c r="E876" s="1804"/>
      <c r="F876" s="1804"/>
      <c r="G876" s="1804"/>
      <c r="H876" s="1804"/>
      <c r="I876" s="1804"/>
      <c r="J876" s="1804"/>
      <c r="K876" s="1804"/>
      <c r="L876" s="1804"/>
      <c r="M876" s="1804"/>
      <c r="N876" s="1804"/>
      <c r="O876" s="1804"/>
      <c r="P876" s="1804"/>
      <c r="Q876" s="1"/>
      <c r="R876" s="1"/>
      <c r="S876" s="48"/>
      <c r="T876" s="1"/>
      <c r="U876" s="1"/>
      <c r="V876" s="1215"/>
      <c r="W876" s="1215"/>
      <c r="X876" s="1215"/>
      <c r="Y876" s="1217"/>
    </row>
    <row r="877" spans="1:25" s="1204" customFormat="1" ht="15" hidden="1" customHeight="1">
      <c r="D877" s="1804"/>
      <c r="E877" s="1804"/>
      <c r="F877" s="1804"/>
      <c r="G877" s="1804"/>
      <c r="H877" s="1804"/>
      <c r="I877" s="1804"/>
      <c r="J877" s="1804"/>
      <c r="K877" s="1804"/>
      <c r="L877" s="1804"/>
      <c r="M877" s="1804"/>
      <c r="N877" s="1804"/>
      <c r="O877" s="1804"/>
      <c r="P877" s="1804"/>
      <c r="Q877" s="1"/>
      <c r="R877" s="1"/>
      <c r="S877" s="47"/>
      <c r="T877" s="1"/>
      <c r="U877" s="1"/>
    </row>
    <row r="878" spans="1:25" ht="15" hidden="1" customHeight="1">
      <c r="D878" s="13"/>
      <c r="E878" s="13"/>
      <c r="F878" s="13"/>
      <c r="G878" s="13"/>
      <c r="H878" s="13"/>
      <c r="I878" s="13"/>
      <c r="J878" s="13"/>
      <c r="K878" s="13"/>
      <c r="L878" s="13"/>
      <c r="M878" s="13"/>
      <c r="N878" s="13"/>
      <c r="O878" s="13"/>
      <c r="P878" s="125"/>
      <c r="S878" s="92"/>
      <c r="W878" s="46"/>
      <c r="X878" s="46"/>
      <c r="Y878" s="223"/>
    </row>
    <row r="879" spans="1:25" s="1204" customFormat="1" ht="15" hidden="1" customHeight="1">
      <c r="A879" s="1212"/>
      <c r="B879" s="1205" t="s">
        <v>18</v>
      </c>
      <c r="C879" s="1213"/>
      <c r="D879" s="1804" t="str">
        <f>Text!C287</f>
        <v>Wird auf die Verwendung von Bioziden bei der Gebäudehülle sowie auf den grossflächigen Einsatz von bewitterten, schwermetallenhaltigen Bauteilen verzichtet?</v>
      </c>
      <c r="E879" s="1804"/>
      <c r="F879" s="1804"/>
      <c r="G879" s="1804"/>
      <c r="H879" s="1804"/>
      <c r="I879" s="1804"/>
      <c r="J879" s="1804"/>
      <c r="K879" s="1804"/>
      <c r="L879" s="1804"/>
      <c r="M879" s="1804"/>
      <c r="N879" s="1804"/>
      <c r="O879" s="1804"/>
      <c r="P879" s="1804"/>
      <c r="Q879" s="1"/>
      <c r="R879" s="1"/>
      <c r="S879" s="48"/>
      <c r="T879" s="1"/>
      <c r="U879" s="1"/>
      <c r="V879" s="1215"/>
      <c r="W879" s="1215"/>
      <c r="X879" s="1215"/>
      <c r="Y879" s="1217"/>
    </row>
    <row r="880" spans="1:25" s="1204" customFormat="1" ht="15" hidden="1" customHeight="1">
      <c r="D880" s="1804"/>
      <c r="E880" s="1804"/>
      <c r="F880" s="1804"/>
      <c r="G880" s="1804"/>
      <c r="H880" s="1804"/>
      <c r="I880" s="1804"/>
      <c r="J880" s="1804"/>
      <c r="K880" s="1804"/>
      <c r="L880" s="1804"/>
      <c r="M880" s="1804"/>
      <c r="N880" s="1804"/>
      <c r="O880" s="1804"/>
      <c r="P880" s="1804"/>
      <c r="Q880" s="1"/>
      <c r="R880" s="1"/>
      <c r="S880" s="47"/>
      <c r="T880" s="1"/>
      <c r="U880" s="1"/>
    </row>
    <row r="881" spans="1:25" ht="15" hidden="1" customHeight="1">
      <c r="D881" s="124"/>
      <c r="E881" s="124"/>
      <c r="F881" s="124"/>
      <c r="G881" s="124"/>
      <c r="H881" s="124"/>
      <c r="I881" s="124"/>
      <c r="J881" s="124"/>
      <c r="K881" s="124"/>
      <c r="L881" s="124"/>
      <c r="M881" s="124"/>
      <c r="N881" s="124"/>
      <c r="O881" s="124"/>
      <c r="P881" s="125"/>
      <c r="S881" s="107"/>
      <c r="V881" s="21"/>
      <c r="W881" s="21"/>
      <c r="X881" s="21"/>
      <c r="Y881" s="165"/>
    </row>
    <row r="882" spans="1:25" s="1204" customFormat="1" ht="15" hidden="1" customHeight="1">
      <c r="A882" s="1212"/>
      <c r="B882" s="1205" t="s">
        <v>17</v>
      </c>
      <c r="C882" s="1213"/>
      <c r="D882" s="1804" t="str">
        <f>Text!C288</f>
        <v>Werden wassersparende Apparate und Armaturen geplant?</v>
      </c>
      <c r="E882" s="1804"/>
      <c r="F882" s="1804"/>
      <c r="G882" s="1804"/>
      <c r="H882" s="1804"/>
      <c r="I882" s="1804"/>
      <c r="J882" s="1804"/>
      <c r="K882" s="1804"/>
      <c r="L882" s="1804"/>
      <c r="M882" s="1804"/>
      <c r="N882" s="1804"/>
      <c r="O882" s="1804"/>
      <c r="P882" s="1804"/>
      <c r="Q882" s="1"/>
      <c r="R882" s="1"/>
      <c r="S882" s="48"/>
      <c r="T882" s="1"/>
      <c r="U882" s="1"/>
      <c r="V882" s="1215"/>
      <c r="W882" s="1215"/>
      <c r="X882" s="1215"/>
      <c r="Y882" s="1217"/>
    </row>
    <row r="883" spans="1:25" s="1204" customFormat="1" ht="15" hidden="1" customHeight="1">
      <c r="D883" s="1804"/>
      <c r="E883" s="1804"/>
      <c r="F883" s="1804"/>
      <c r="G883" s="1804"/>
      <c r="H883" s="1804"/>
      <c r="I883" s="1804"/>
      <c r="J883" s="1804"/>
      <c r="K883" s="1804"/>
      <c r="L883" s="1804"/>
      <c r="M883" s="1804"/>
      <c r="N883" s="1804"/>
      <c r="O883" s="1804"/>
      <c r="P883" s="1804"/>
      <c r="Q883" s="1"/>
      <c r="R883" s="1"/>
      <c r="S883" s="47"/>
      <c r="T883" s="1"/>
      <c r="U883" s="1"/>
    </row>
    <row r="884" spans="1:25" ht="15" customHeight="1">
      <c r="D884" s="13"/>
      <c r="E884" s="13"/>
      <c r="F884" s="13"/>
      <c r="G884" s="13"/>
      <c r="H884" s="13"/>
      <c r="I884" s="13"/>
      <c r="J884" s="13"/>
      <c r="K884" s="13"/>
      <c r="L884" s="13"/>
      <c r="M884" s="13"/>
      <c r="N884" s="13"/>
      <c r="O884" s="13"/>
      <c r="P884" s="125"/>
      <c r="S884" s="92"/>
      <c r="W884" s="46"/>
      <c r="X884" s="46"/>
      <c r="Y884" s="223"/>
    </row>
    <row r="885" spans="1:25" s="1204" customFormat="1" ht="15" customHeight="1">
      <c r="A885" s="1212"/>
      <c r="B885" s="1205" t="s">
        <v>18</v>
      </c>
      <c r="C885" s="1213"/>
      <c r="D885" s="1804" t="str">
        <f>Text!C289</f>
        <v>Sind bei der Wahl der Bepflanzung sowie beim Versickerungs- und Retentionskonzept die Veränderungen durch den Klimawandel (höhere Temperatur und heftigere Niederschläge) mitberücksichtigt worden und haben diese das Umgebungskonzept beeinflusst?</v>
      </c>
      <c r="E885" s="1804"/>
      <c r="F885" s="1804"/>
      <c r="G885" s="1804"/>
      <c r="H885" s="1804"/>
      <c r="I885" s="1804"/>
      <c r="J885" s="1804"/>
      <c r="K885" s="1804"/>
      <c r="L885" s="1804"/>
      <c r="M885" s="1804"/>
      <c r="N885" s="1804"/>
      <c r="O885" s="1804"/>
      <c r="P885" s="1804"/>
      <c r="Q885" s="1"/>
      <c r="R885" s="1"/>
      <c r="S885" s="48"/>
      <c r="T885" s="1"/>
      <c r="U885" s="1"/>
      <c r="V885" s="1215" t="str">
        <f>Text!B289</f>
        <v>K342</v>
      </c>
      <c r="W885" s="1215"/>
      <c r="X885" s="1215"/>
      <c r="Y885" s="1217"/>
    </row>
    <row r="886" spans="1:25" s="1204" customFormat="1" ht="15" customHeight="1">
      <c r="D886" s="1804"/>
      <c r="E886" s="1804"/>
      <c r="F886" s="1804"/>
      <c r="G886" s="1804"/>
      <c r="H886" s="1804"/>
      <c r="I886" s="1804"/>
      <c r="J886" s="1804"/>
      <c r="K886" s="1804"/>
      <c r="L886" s="1804"/>
      <c r="M886" s="1804"/>
      <c r="N886" s="1804"/>
      <c r="O886" s="1804"/>
      <c r="P886" s="1804"/>
      <c r="Q886" s="1"/>
      <c r="R886" s="1"/>
      <c r="S886" s="47"/>
      <c r="T886" s="1"/>
      <c r="U886" s="1"/>
    </row>
    <row r="887" spans="1:25" ht="15" hidden="1" customHeight="1">
      <c r="D887" s="124"/>
      <c r="E887" s="124"/>
      <c r="F887" s="124"/>
      <c r="G887" s="124"/>
      <c r="H887" s="124"/>
      <c r="I887" s="124"/>
      <c r="J887" s="124"/>
      <c r="K887" s="124"/>
      <c r="L887" s="124"/>
      <c r="M887" s="124"/>
      <c r="N887" s="124"/>
      <c r="O887" s="124"/>
      <c r="P887" s="125"/>
      <c r="S887" s="107"/>
      <c r="V887" s="21"/>
      <c r="W887" s="21"/>
      <c r="X887" s="21"/>
      <c r="Y887" s="165"/>
    </row>
    <row r="888" spans="1:25" s="1204" customFormat="1" ht="15" hidden="1" customHeight="1">
      <c r="A888" s="1212"/>
      <c r="B888" s="1205" t="s">
        <v>17</v>
      </c>
      <c r="C888" s="1213"/>
      <c r="D888" s="1804" t="str">
        <f>Text!C290</f>
        <v>Wurden bei der Umgebungsplanung, die durch den Klimawandel veränderten, künftigen Bedingungen untersucht?</v>
      </c>
      <c r="E888" s="1804"/>
      <c r="F888" s="1804"/>
      <c r="G888" s="1804"/>
      <c r="H888" s="1804"/>
      <c r="I888" s="1804"/>
      <c r="J888" s="1804"/>
      <c r="K888" s="1804"/>
      <c r="L888" s="1804"/>
      <c r="M888" s="1804"/>
      <c r="N888" s="1804"/>
      <c r="O888" s="1804"/>
      <c r="P888" s="1804"/>
      <c r="Q888" s="1"/>
      <c r="R888" s="1"/>
      <c r="S888" s="48"/>
      <c r="T888" s="1"/>
      <c r="U888" s="1"/>
      <c r="V888" s="1215"/>
      <c r="W888" s="1215"/>
      <c r="X888" s="1215"/>
      <c r="Y888" s="1217"/>
    </row>
    <row r="889" spans="1:25" s="1204" customFormat="1" ht="15" hidden="1" customHeight="1">
      <c r="D889" s="1804"/>
      <c r="E889" s="1804"/>
      <c r="F889" s="1804"/>
      <c r="G889" s="1804"/>
      <c r="H889" s="1804"/>
      <c r="I889" s="1804"/>
      <c r="J889" s="1804"/>
      <c r="K889" s="1804"/>
      <c r="L889" s="1804"/>
      <c r="M889" s="1804"/>
      <c r="N889" s="1804"/>
      <c r="O889" s="1804"/>
      <c r="P889" s="1804"/>
      <c r="Q889" s="1"/>
      <c r="R889" s="1"/>
      <c r="S889" s="47"/>
      <c r="T889" s="1"/>
      <c r="U889" s="1"/>
    </row>
    <row r="890" spans="1:25" ht="15" hidden="1" customHeight="1">
      <c r="D890" s="124"/>
      <c r="E890" s="124"/>
      <c r="F890" s="124"/>
      <c r="G890" s="124"/>
      <c r="H890" s="124"/>
      <c r="I890" s="124"/>
      <c r="J890" s="124"/>
      <c r="K890" s="124"/>
      <c r="L890" s="124"/>
      <c r="M890" s="124"/>
      <c r="N890" s="124"/>
      <c r="O890" s="124"/>
      <c r="P890" s="125"/>
      <c r="S890" s="107"/>
      <c r="V890" s="21"/>
      <c r="W890" s="21"/>
      <c r="X890" s="21"/>
      <c r="Y890" s="165"/>
    </row>
    <row r="891" spans="1:25" s="1204" customFormat="1" ht="15" hidden="1" customHeight="1">
      <c r="A891" s="1212"/>
      <c r="B891" s="1205" t="s">
        <v>17</v>
      </c>
      <c r="C891" s="1213"/>
      <c r="D891" s="1804" t="str">
        <f>Text!C291</f>
        <v>Wurden langfristig klimaresistente Bepflanzungen für die Umgebungsgestaltung vorgesehen?</v>
      </c>
      <c r="E891" s="1804"/>
      <c r="F891" s="1804"/>
      <c r="G891" s="1804"/>
      <c r="H891" s="1804"/>
      <c r="I891" s="1804"/>
      <c r="J891" s="1804"/>
      <c r="K891" s="1804"/>
      <c r="L891" s="1804"/>
      <c r="M891" s="1804"/>
      <c r="N891" s="1804"/>
      <c r="O891" s="1804"/>
      <c r="P891" s="1804"/>
      <c r="Q891" s="1"/>
      <c r="R891" s="1"/>
      <c r="S891" s="48"/>
      <c r="T891" s="1"/>
      <c r="U891" s="1"/>
      <c r="V891" s="1215"/>
      <c r="W891" s="1215"/>
      <c r="X891" s="1215"/>
      <c r="Y891" s="1217"/>
    </row>
    <row r="892" spans="1:25" s="1204" customFormat="1" ht="15" hidden="1" customHeight="1">
      <c r="D892" s="1804"/>
      <c r="E892" s="1804"/>
      <c r="F892" s="1804"/>
      <c r="G892" s="1804"/>
      <c r="H892" s="1804"/>
      <c r="I892" s="1804"/>
      <c r="J892" s="1804"/>
      <c r="K892" s="1804"/>
      <c r="L892" s="1804"/>
      <c r="M892" s="1804"/>
      <c r="N892" s="1804"/>
      <c r="O892" s="1804"/>
      <c r="P892" s="1804"/>
      <c r="Q892" s="1"/>
      <c r="R892" s="1"/>
      <c r="S892" s="47"/>
      <c r="T892" s="1"/>
      <c r="U892" s="1"/>
    </row>
    <row r="893" spans="1:25" ht="15" hidden="1" customHeight="1">
      <c r="D893" s="13"/>
      <c r="E893" s="13"/>
      <c r="F893" s="13"/>
      <c r="G893" s="13"/>
      <c r="H893" s="13"/>
      <c r="I893" s="13"/>
      <c r="J893" s="13"/>
      <c r="K893" s="13"/>
      <c r="L893" s="13"/>
      <c r="M893" s="13"/>
      <c r="N893" s="13"/>
      <c r="O893" s="13"/>
      <c r="P893" s="125"/>
      <c r="S893" s="92"/>
      <c r="W893" s="46"/>
      <c r="X893" s="46"/>
      <c r="Y893" s="223"/>
    </row>
    <row r="894" spans="1:25" s="1204" customFormat="1" ht="15" hidden="1" customHeight="1">
      <c r="A894" s="1212"/>
      <c r="B894" s="1205" t="s">
        <v>18</v>
      </c>
      <c r="C894" s="1213"/>
      <c r="D894" s="1804" t="str">
        <f>Text!C292</f>
        <v>Haben beim Versickerungs- und Retentionskonzept die erwarteten besonders heftigen Niederschläge der Zukunft eine Rolle gespielt?</v>
      </c>
      <c r="E894" s="1804"/>
      <c r="F894" s="1804"/>
      <c r="G894" s="1804"/>
      <c r="H894" s="1804"/>
      <c r="I894" s="1804"/>
      <c r="J894" s="1804"/>
      <c r="K894" s="1804"/>
      <c r="L894" s="1804"/>
      <c r="M894" s="1804"/>
      <c r="N894" s="1804"/>
      <c r="O894" s="1804"/>
      <c r="P894" s="1804"/>
      <c r="Q894" s="1"/>
      <c r="R894" s="1"/>
      <c r="S894" s="48"/>
      <c r="T894" s="1"/>
      <c r="U894" s="1"/>
      <c r="V894" s="1215"/>
      <c r="W894" s="1215"/>
      <c r="X894" s="1215"/>
      <c r="Y894" s="1217"/>
    </row>
    <row r="895" spans="1:25" s="1204" customFormat="1" ht="15" hidden="1" customHeight="1">
      <c r="D895" s="1804"/>
      <c r="E895" s="1804"/>
      <c r="F895" s="1804"/>
      <c r="G895" s="1804"/>
      <c r="H895" s="1804"/>
      <c r="I895" s="1804"/>
      <c r="J895" s="1804"/>
      <c r="K895" s="1804"/>
      <c r="L895" s="1804"/>
      <c r="M895" s="1804"/>
      <c r="N895" s="1804"/>
      <c r="O895" s="1804"/>
      <c r="P895" s="1804"/>
      <c r="Q895" s="1"/>
      <c r="R895" s="1"/>
      <c r="S895" s="47"/>
      <c r="T895" s="1"/>
      <c r="U895" s="1"/>
    </row>
    <row r="896" spans="1:25" ht="15" customHeight="1">
      <c r="D896" s="124"/>
      <c r="E896" s="124"/>
      <c r="F896" s="124"/>
      <c r="G896" s="124"/>
      <c r="H896" s="124"/>
      <c r="I896" s="124"/>
      <c r="J896" s="124"/>
      <c r="K896" s="124"/>
      <c r="L896" s="124"/>
      <c r="M896" s="124"/>
      <c r="N896" s="124"/>
      <c r="O896" s="124"/>
      <c r="P896" s="125"/>
      <c r="S896" s="107"/>
      <c r="V896" s="21"/>
      <c r="W896" s="21"/>
      <c r="X896" s="21"/>
      <c r="Y896" s="165"/>
    </row>
    <row r="897" spans="1:25 16384:16384" s="1204" customFormat="1" ht="15" customHeight="1">
      <c r="A897" s="1212"/>
      <c r="B897" s="1205" t="s">
        <v>17</v>
      </c>
      <c r="C897" s="1213"/>
      <c r="D897" s="1804" t="str">
        <f>Text!C293</f>
        <v>Wird mit dem Projekt ein Beitrag zur Siedlungsentwicklung nach innen (Verdichtung) geleistet, indem es innerhalb eines dicht besiedelten Gebietes in einer geeigneten Bauzone realisiert wird und die gesetzliche mögliche Bebaubarkeit maximal ausgeschöpft wird?</v>
      </c>
      <c r="E897" s="1804"/>
      <c r="F897" s="1804"/>
      <c r="G897" s="1804"/>
      <c r="H897" s="1804"/>
      <c r="I897" s="1804"/>
      <c r="J897" s="1804"/>
      <c r="K897" s="1804"/>
      <c r="L897" s="1804"/>
      <c r="M897" s="1804"/>
      <c r="N897" s="1804"/>
      <c r="O897" s="1804"/>
      <c r="P897" s="1804"/>
      <c r="Q897" s="1"/>
      <c r="R897" s="1"/>
      <c r="S897" s="48"/>
      <c r="T897" s="1"/>
      <c r="U897" s="1"/>
      <c r="V897" s="1215">
        <f>Text!B293</f>
        <v>343</v>
      </c>
      <c r="W897" s="1215"/>
      <c r="X897" s="1215"/>
      <c r="Y897" s="1217"/>
    </row>
    <row r="898" spans="1:25 16384:16384" s="1204" customFormat="1" ht="15" customHeight="1">
      <c r="D898" s="1804"/>
      <c r="E898" s="1804"/>
      <c r="F898" s="1804"/>
      <c r="G898" s="1804"/>
      <c r="H898" s="1804"/>
      <c r="I898" s="1804"/>
      <c r="J898" s="1804"/>
      <c r="K898" s="1804"/>
      <c r="L898" s="1804"/>
      <c r="M898" s="1804"/>
      <c r="N898" s="1804"/>
      <c r="O898" s="1804"/>
      <c r="P898" s="1804"/>
      <c r="Q898" s="1"/>
      <c r="R898" s="1"/>
      <c r="S898" s="47"/>
      <c r="T898" s="1"/>
      <c r="U898" s="1"/>
    </row>
    <row r="899" spans="1:25 16384:16384" ht="15" hidden="1" customHeight="1">
      <c r="D899" s="13"/>
      <c r="E899" s="13"/>
      <c r="F899" s="13"/>
      <c r="G899" s="13"/>
      <c r="H899" s="13"/>
      <c r="I899" s="13"/>
      <c r="J899" s="13"/>
      <c r="K899" s="13"/>
      <c r="L899" s="13"/>
      <c r="M899" s="13"/>
      <c r="N899" s="13"/>
      <c r="O899" s="13"/>
      <c r="P899" s="125"/>
      <c r="S899" s="92"/>
      <c r="W899" s="46"/>
      <c r="X899" s="46"/>
      <c r="Y899" s="223"/>
    </row>
    <row r="900" spans="1:25 16384:16384" s="1204" customFormat="1" ht="15" hidden="1" customHeight="1">
      <c r="A900" s="1212"/>
      <c r="B900" s="1205" t="s">
        <v>18</v>
      </c>
      <c r="C900" s="1213"/>
      <c r="D900" s="1804" t="str">
        <f>Text!C294</f>
        <v>Wird das Bauvorhaben innerhalb oder am Rand eines dicht besiedelten Gebiets realisiert?</v>
      </c>
      <c r="E900" s="1804"/>
      <c r="F900" s="1804"/>
      <c r="G900" s="1804"/>
      <c r="H900" s="1804"/>
      <c r="I900" s="1804"/>
      <c r="J900" s="1804"/>
      <c r="K900" s="1804"/>
      <c r="L900" s="1804"/>
      <c r="M900" s="1804"/>
      <c r="N900" s="1804"/>
      <c r="O900" s="1804"/>
      <c r="P900" s="1804"/>
      <c r="Q900" s="1"/>
      <c r="R900" s="1"/>
      <c r="S900" s="48"/>
      <c r="T900" s="1"/>
      <c r="U900" s="1"/>
      <c r="V900" s="1215"/>
      <c r="W900" s="1215"/>
      <c r="X900" s="1215"/>
      <c r="Y900" s="1217"/>
    </row>
    <row r="901" spans="1:25 16384:16384" s="1204" customFormat="1" ht="15" hidden="1" customHeight="1">
      <c r="D901" s="1804"/>
      <c r="E901" s="1804"/>
      <c r="F901" s="1804"/>
      <c r="G901" s="1804"/>
      <c r="H901" s="1804"/>
      <c r="I901" s="1804"/>
      <c r="J901" s="1804"/>
      <c r="K901" s="1804"/>
      <c r="L901" s="1804"/>
      <c r="M901" s="1804"/>
      <c r="N901" s="1804"/>
      <c r="O901" s="1804"/>
      <c r="P901" s="1804"/>
      <c r="Q901" s="1"/>
      <c r="R901" s="1"/>
      <c r="S901" s="47"/>
      <c r="T901" s="1"/>
      <c r="U901" s="1"/>
    </row>
    <row r="902" spans="1:25 16384:16384" ht="15" hidden="1" customHeight="1">
      <c r="D902" s="124"/>
      <c r="E902" s="124"/>
      <c r="F902" s="124"/>
      <c r="G902" s="124"/>
      <c r="H902" s="124"/>
      <c r="I902" s="124"/>
      <c r="J902" s="124"/>
      <c r="K902" s="124"/>
      <c r="L902" s="124"/>
      <c r="M902" s="124"/>
      <c r="N902" s="124"/>
      <c r="O902" s="124"/>
      <c r="P902" s="125"/>
      <c r="S902" s="107"/>
      <c r="V902" s="21"/>
      <c r="W902" s="21"/>
      <c r="X902" s="21"/>
      <c r="Y902" s="165"/>
    </row>
    <row r="903" spans="1:25 16384:16384" s="1204" customFormat="1" ht="15" hidden="1" customHeight="1">
      <c r="A903" s="1212"/>
      <c r="B903" s="1205" t="s">
        <v>17</v>
      </c>
      <c r="C903" s="1213"/>
      <c r="D903" s="1804" t="str">
        <f>Text!C295</f>
        <v>Liegt das Grundstück in einer geeigneten Bauzone und ist bereits mehrheitlich bebaut?</v>
      </c>
      <c r="E903" s="1804"/>
      <c r="F903" s="1804"/>
      <c r="G903" s="1804"/>
      <c r="H903" s="1804"/>
      <c r="I903" s="1804"/>
      <c r="J903" s="1804"/>
      <c r="K903" s="1804"/>
      <c r="L903" s="1804"/>
      <c r="M903" s="1804"/>
      <c r="N903" s="1804"/>
      <c r="O903" s="1804"/>
      <c r="P903" s="1804"/>
      <c r="Q903" s="1"/>
      <c r="R903" s="1"/>
      <c r="S903" s="48"/>
      <c r="T903" s="1"/>
      <c r="U903" s="1"/>
      <c r="V903" s="1215"/>
      <c r="W903" s="1215"/>
      <c r="X903" s="1215"/>
      <c r="Y903" s="1217"/>
    </row>
    <row r="904" spans="1:25 16384:16384" s="1204" customFormat="1" ht="15" hidden="1" customHeight="1">
      <c r="D904" s="1804"/>
      <c r="E904" s="1804"/>
      <c r="F904" s="1804"/>
      <c r="G904" s="1804"/>
      <c r="H904" s="1804"/>
      <c r="I904" s="1804"/>
      <c r="J904" s="1804"/>
      <c r="K904" s="1804"/>
      <c r="L904" s="1804"/>
      <c r="M904" s="1804"/>
      <c r="N904" s="1804"/>
      <c r="O904" s="1804"/>
      <c r="P904" s="1804"/>
      <c r="Q904" s="1"/>
      <c r="R904" s="1"/>
      <c r="S904" s="47"/>
      <c r="T904" s="1"/>
      <c r="U904" s="1"/>
    </row>
    <row r="905" spans="1:25 16384:16384" ht="15" hidden="1" customHeight="1">
      <c r="D905" s="124"/>
      <c r="E905" s="124"/>
      <c r="F905" s="124"/>
      <c r="G905" s="124"/>
      <c r="H905" s="124"/>
      <c r="I905" s="124"/>
      <c r="J905" s="124"/>
      <c r="K905" s="124"/>
      <c r="L905" s="124"/>
      <c r="M905" s="124"/>
      <c r="N905" s="124"/>
      <c r="O905" s="124"/>
      <c r="P905" s="125"/>
      <c r="S905" s="107"/>
      <c r="V905" s="21"/>
      <c r="W905" s="21"/>
      <c r="X905" s="21"/>
      <c r="Y905" s="165"/>
    </row>
    <row r="906" spans="1:25 16384:16384" s="1204" customFormat="1" ht="15" hidden="1" customHeight="1">
      <c r="A906" s="1212"/>
      <c r="B906" s="1205" t="s">
        <v>17</v>
      </c>
      <c r="C906" s="1213"/>
      <c r="D906" s="1804" t="str">
        <f>Text!C296</f>
        <v>Sind die geplanten Gebäude dicht auf dem Grundstück angeordnet und lassen eine substanzielle Erweiterung (mind. 25 % der GF) zu oder wurde das gesamte Bebauungspotenzial maximal ausgeschöpft?</v>
      </c>
      <c r="E906" s="1804"/>
      <c r="F906" s="1804"/>
      <c r="G906" s="1804"/>
      <c r="H906" s="1804"/>
      <c r="I906" s="1804"/>
      <c r="J906" s="1804"/>
      <c r="K906" s="1804"/>
      <c r="L906" s="1804"/>
      <c r="M906" s="1804"/>
      <c r="N906" s="1804"/>
      <c r="O906" s="1804"/>
      <c r="P906" s="1804"/>
      <c r="Q906" s="1"/>
      <c r="R906" s="1"/>
      <c r="S906" s="48"/>
      <c r="T906" s="1"/>
      <c r="U906" s="1"/>
      <c r="V906" s="1215"/>
      <c r="W906" s="1215"/>
      <c r="X906" s="1215"/>
      <c r="Y906" s="1217"/>
    </row>
    <row r="907" spans="1:25 16384:16384" s="1204" customFormat="1" ht="15" hidden="1" customHeight="1">
      <c r="D907" s="1804"/>
      <c r="E907" s="1804"/>
      <c r="F907" s="1804"/>
      <c r="G907" s="1804"/>
      <c r="H907" s="1804"/>
      <c r="I907" s="1804"/>
      <c r="J907" s="1804"/>
      <c r="K907" s="1804"/>
      <c r="L907" s="1804"/>
      <c r="M907" s="1804"/>
      <c r="N907" s="1804"/>
      <c r="O907" s="1804"/>
      <c r="P907" s="1804"/>
      <c r="Q907" s="1"/>
      <c r="R907" s="1"/>
      <c r="S907" s="47"/>
      <c r="T907" s="1"/>
      <c r="U907" s="1"/>
    </row>
    <row r="908" spans="1:25 16384:16384" ht="15" customHeight="1">
      <c r="D908" s="13"/>
      <c r="E908" s="13"/>
      <c r="F908" s="13"/>
      <c r="G908" s="13"/>
      <c r="H908" s="13"/>
      <c r="I908" s="13"/>
      <c r="J908" s="13"/>
      <c r="K908" s="13"/>
      <c r="L908" s="13"/>
      <c r="M908" s="13"/>
      <c r="N908" s="13"/>
      <c r="O908" s="13"/>
      <c r="P908" s="125"/>
      <c r="S908" s="92"/>
      <c r="W908" s="46"/>
      <c r="X908" s="46"/>
      <c r="Y908" s="223"/>
    </row>
    <row r="909" spans="1:25 16384:16384" ht="15" customHeight="1">
      <c r="A909" s="158"/>
      <c r="C909" s="3"/>
      <c r="D909" s="125"/>
      <c r="E909" s="125"/>
      <c r="F909" s="125"/>
      <c r="G909" s="125"/>
      <c r="H909" s="125"/>
      <c r="I909" s="125"/>
      <c r="J909" s="125"/>
      <c r="K909" s="125"/>
      <c r="L909" s="125"/>
      <c r="M909" s="125"/>
      <c r="N909" s="125"/>
      <c r="O909" s="125"/>
      <c r="P909" s="125"/>
      <c r="Q909" s="1"/>
      <c r="R909" s="1"/>
      <c r="S909" s="48"/>
      <c r="V909" s="23"/>
      <c r="W909" s="23"/>
      <c r="X909" s="23"/>
      <c r="Y909" s="187"/>
      <c r="XFD909" s="158"/>
    </row>
    <row r="910" spans="1:25 16384:16384" ht="15" customHeight="1" thickBot="1">
      <c r="A910" s="158"/>
      <c r="C910" s="3"/>
      <c r="D910" s="1816" t="str">
        <f>IF(OR(AND(Tool!H18="Pre-Check",Text!AS22="1"),AND(OR(Tool!H18="Klima-Check",Tool!H18="Check Clima",Tool!H18="Check Climat"),Text!AV22="1"),AND(OR(Tool!H18="Pre-Check &amp; Klima-Check",Tool!H18="Pre-Check &amp; Check Climat",Tool!H18="Pre-Check &amp; Check Clima"),Text!AV22="1",Text!AV22="1")),Text!C297,Text!C299)</f>
        <v>Es sind noch Fragen zu beantworten, bitte überprüfen Sie alle Eingabefelder.</v>
      </c>
      <c r="E910" s="1816"/>
      <c r="F910" s="1816"/>
      <c r="G910" s="1816"/>
      <c r="H910" s="1816"/>
      <c r="I910" s="1816"/>
      <c r="J910" s="1816"/>
      <c r="K910" s="1816"/>
      <c r="L910" s="1816"/>
      <c r="M910" s="1816"/>
      <c r="N910" s="1816"/>
      <c r="O910" s="1816"/>
      <c r="P910" s="1816"/>
      <c r="Q910" s="1"/>
      <c r="R910" s="1"/>
      <c r="S910" s="191" t="str">
        <f>Text!C319</f>
        <v>Zum Ergebnis</v>
      </c>
      <c r="V910" s="23"/>
      <c r="W910" s="23"/>
      <c r="X910" s="23"/>
      <c r="Y910" s="187"/>
      <c r="XFD910" s="158"/>
    </row>
    <row r="911" spans="1:25 16384:16384" ht="60" customHeight="1" thickTop="1">
      <c r="S911" s="1"/>
    </row>
    <row r="912" spans="1:25 16384:16384" ht="15" customHeight="1">
      <c r="F912" s="1815"/>
      <c r="G912" s="1815"/>
      <c r="H912" s="1815"/>
      <c r="I912" s="1815"/>
      <c r="J912" s="1815"/>
      <c r="K912" s="1815"/>
      <c r="L912" s="1815"/>
      <c r="M912" s="1815"/>
      <c r="N912" s="1815"/>
      <c r="O912" s="1815"/>
      <c r="P912" s="1815"/>
      <c r="Q912" s="1815"/>
      <c r="R912" s="1815"/>
      <c r="S912" s="1815"/>
    </row>
    <row r="913" ht="15" customHeight="1"/>
    <row r="914" ht="15" customHeight="1"/>
    <row r="915" ht="15" customHeight="1"/>
    <row r="916" ht="15" customHeight="1"/>
    <row r="917" ht="15" customHeight="1"/>
    <row r="918" ht="15" customHeight="1"/>
    <row r="919" ht="15" customHeight="1"/>
    <row r="920" ht="15" customHeight="1"/>
    <row r="921" ht="15" hidden="1" customHeight="1"/>
    <row r="922" ht="15" hidden="1" customHeight="1"/>
    <row r="923" ht="15" hidden="1" customHeight="1"/>
    <row r="924" ht="15" hidden="1" customHeight="1"/>
    <row r="925" ht="15" hidden="1" customHeight="1"/>
    <row r="926" ht="15" hidden="1" customHeight="1"/>
    <row r="927" ht="15" hidden="1" customHeight="1"/>
    <row r="928" ht="15" hidden="1" customHeight="1"/>
    <row r="929" ht="15" hidden="1" customHeight="1"/>
    <row r="930" ht="15" hidden="1" customHeight="1"/>
    <row r="931" ht="15" hidden="1" customHeight="1"/>
    <row r="932" ht="15" hidden="1" customHeight="1"/>
    <row r="933" ht="15" hidden="1" customHeight="1"/>
    <row r="934" ht="15" hidden="1" customHeight="1"/>
    <row r="935" ht="15" hidden="1" customHeight="1"/>
    <row r="936" ht="15" hidden="1" customHeight="1"/>
    <row r="937" ht="15" hidden="1" customHeight="1"/>
    <row r="938" ht="15" hidden="1" customHeight="1"/>
    <row r="939" ht="15" hidden="1" customHeight="1"/>
    <row r="940" ht="15" hidden="1" customHeight="1"/>
    <row r="941" ht="15" hidden="1" customHeight="1"/>
    <row r="942" ht="15" hidden="1" customHeight="1"/>
    <row r="943" ht="15" hidden="1" customHeight="1"/>
    <row r="944" ht="15" hidden="1" customHeight="1"/>
    <row r="945" ht="15" hidden="1" customHeight="1"/>
    <row r="946" ht="15" hidden="1" customHeight="1"/>
    <row r="947" ht="15" hidden="1" customHeight="1"/>
    <row r="948" ht="15" hidden="1" customHeight="1"/>
    <row r="949" ht="15" hidden="1" customHeight="1"/>
    <row r="950" ht="15" hidden="1" customHeight="1"/>
    <row r="951"/>
  </sheetData>
  <sheetProtection algorithmName="SHA-512" hashValue="enhPBi4VLL9xBczNL2YJzn6nFPLJYS17Mt+GPhuQILMwrT/aF90nO1OKB1rLyY35Rkp1NRIBB8oXB4uWLz+ZNg==" saltValue="7EIfUuPXoq7jLwFYy8JlRg==" spinCount="100000" sheet="1" formatColumns="0" formatRows="0"/>
  <dataConsolidate/>
  <customSheetViews>
    <customSheetView guid="{9A24DFA8-2F1F-40ED-973B-20A00514A0EB}" hiddenRows="1" hiddenColumns="1"/>
  </customSheetViews>
  <mergeCells count="322">
    <mergeCell ref="D544:P545"/>
    <mergeCell ref="D547:P548"/>
    <mergeCell ref="D418:P419"/>
    <mergeCell ref="D733:P734"/>
    <mergeCell ref="D235:P236"/>
    <mergeCell ref="I242:P242"/>
    <mergeCell ref="D406:P407"/>
    <mergeCell ref="D339:P340"/>
    <mergeCell ref="D287:P288"/>
    <mergeCell ref="D290:P291"/>
    <mergeCell ref="D293:P294"/>
    <mergeCell ref="D296:P297"/>
    <mergeCell ref="D254:P255"/>
    <mergeCell ref="I303:P303"/>
    <mergeCell ref="I563:P563"/>
    <mergeCell ref="D566:P566"/>
    <mergeCell ref="D567:P567"/>
    <mergeCell ref="D556:P557"/>
    <mergeCell ref="I643:P643"/>
    <mergeCell ref="D661:P662"/>
    <mergeCell ref="D523:P524"/>
    <mergeCell ref="D526:P527"/>
    <mergeCell ref="D550:P551"/>
    <mergeCell ref="D553:P554"/>
    <mergeCell ref="D199:P200"/>
    <mergeCell ref="D128:P129"/>
    <mergeCell ref="D125:P126"/>
    <mergeCell ref="W122:Y123"/>
    <mergeCell ref="V117:Y117"/>
    <mergeCell ref="D111:P111"/>
    <mergeCell ref="D144:P144"/>
    <mergeCell ref="D145:P145"/>
    <mergeCell ref="D166:P166"/>
    <mergeCell ref="D167:P167"/>
    <mergeCell ref="D113:P113"/>
    <mergeCell ref="D119:P120"/>
    <mergeCell ref="D116:P117"/>
    <mergeCell ref="D141:P142"/>
    <mergeCell ref="D181:P182"/>
    <mergeCell ref="D184:P185"/>
    <mergeCell ref="D175:P176"/>
    <mergeCell ref="V77:X78"/>
    <mergeCell ref="D104:P105"/>
    <mergeCell ref="D86:P87"/>
    <mergeCell ref="D89:P90"/>
    <mergeCell ref="D92:P93"/>
    <mergeCell ref="D63:P63"/>
    <mergeCell ref="D65:P65"/>
    <mergeCell ref="D68:P69"/>
    <mergeCell ref="D71:P72"/>
    <mergeCell ref="D74:P75"/>
    <mergeCell ref="D98:P99"/>
    <mergeCell ref="D101:P102"/>
    <mergeCell ref="V63:Y63"/>
    <mergeCell ref="D77:P77"/>
    <mergeCell ref="V65:Y66"/>
    <mergeCell ref="D80:P81"/>
    <mergeCell ref="D83:P84"/>
    <mergeCell ref="D95:P96"/>
    <mergeCell ref="D78:P78"/>
    <mergeCell ref="F59:U59"/>
    <mergeCell ref="F58:U58"/>
    <mergeCell ref="F60:U60"/>
    <mergeCell ref="D514:P515"/>
    <mergeCell ref="D530:P530"/>
    <mergeCell ref="D520:P521"/>
    <mergeCell ref="D517:P518"/>
    <mergeCell ref="D223:P224"/>
    <mergeCell ref="D251:P252"/>
    <mergeCell ref="D248:P249"/>
    <mergeCell ref="D226:P227"/>
    <mergeCell ref="D229:P230"/>
    <mergeCell ref="D306:P307"/>
    <mergeCell ref="D309:P310"/>
    <mergeCell ref="D312:P313"/>
    <mergeCell ref="D245:P246"/>
    <mergeCell ref="D275:P275"/>
    <mergeCell ref="D276:P276"/>
    <mergeCell ref="D232:P233"/>
    <mergeCell ref="I352:P352"/>
    <mergeCell ref="D355:P355"/>
    <mergeCell ref="D475:P475"/>
    <mergeCell ref="D281:P282"/>
    <mergeCell ref="D284:P285"/>
    <mergeCell ref="F912:S912"/>
    <mergeCell ref="I740:P740"/>
    <mergeCell ref="D697:P698"/>
    <mergeCell ref="D910:P910"/>
    <mergeCell ref="D764:P765"/>
    <mergeCell ref="D767:P768"/>
    <mergeCell ref="D779:P780"/>
    <mergeCell ref="D752:P753"/>
    <mergeCell ref="D791:P792"/>
    <mergeCell ref="D788:P789"/>
    <mergeCell ref="D785:P786"/>
    <mergeCell ref="D776:P777"/>
    <mergeCell ref="D758:P759"/>
    <mergeCell ref="D761:P762"/>
    <mergeCell ref="D794:P795"/>
    <mergeCell ref="D755:P756"/>
    <mergeCell ref="D800:P801"/>
    <mergeCell ref="D797:P798"/>
    <mergeCell ref="D730:P731"/>
    <mergeCell ref="D727:P728"/>
    <mergeCell ref="D721:P722"/>
    <mergeCell ref="D836:P837"/>
    <mergeCell ref="D712:P712"/>
    <mergeCell ref="D713:P713"/>
    <mergeCell ref="D205:P206"/>
    <mergeCell ref="I135:P135"/>
    <mergeCell ref="I138:P138"/>
    <mergeCell ref="D122:P123"/>
    <mergeCell ref="D208:P209"/>
    <mergeCell ref="D211:P212"/>
    <mergeCell ref="D214:P215"/>
    <mergeCell ref="D217:P218"/>
    <mergeCell ref="D220:P221"/>
    <mergeCell ref="D162:P163"/>
    <mergeCell ref="D159:P160"/>
    <mergeCell ref="D156:P157"/>
    <mergeCell ref="D153:P154"/>
    <mergeCell ref="D147:P148"/>
    <mergeCell ref="D150:P151"/>
    <mergeCell ref="D172:P173"/>
    <mergeCell ref="D202:P203"/>
    <mergeCell ref="D169:P169"/>
    <mergeCell ref="D170:P170"/>
    <mergeCell ref="D187:P188"/>
    <mergeCell ref="D190:P191"/>
    <mergeCell ref="D178:P179"/>
    <mergeCell ref="D193:P194"/>
    <mergeCell ref="D196:P197"/>
    <mergeCell ref="D315:P316"/>
    <mergeCell ref="D358:P359"/>
    <mergeCell ref="D821:P822"/>
    <mergeCell ref="D824:P825"/>
    <mergeCell ref="D827:P828"/>
    <mergeCell ref="D830:P831"/>
    <mergeCell ref="D833:P834"/>
    <mergeCell ref="D803:P804"/>
    <mergeCell ref="D809:P810"/>
    <mergeCell ref="D812:P813"/>
    <mergeCell ref="D815:P816"/>
    <mergeCell ref="D782:P782"/>
    <mergeCell ref="D783:P783"/>
    <mergeCell ref="D806:P807"/>
    <mergeCell ref="D688:P689"/>
    <mergeCell ref="D691:P692"/>
    <mergeCell ref="D655:P656"/>
    <mergeCell ref="D664:P665"/>
    <mergeCell ref="D584:P585"/>
    <mergeCell ref="D818:P819"/>
    <mergeCell ref="D676:P676"/>
    <mergeCell ref="D677:P677"/>
    <mergeCell ref="D706:P707"/>
    <mergeCell ref="D709:P710"/>
    <mergeCell ref="D724:P724"/>
    <mergeCell ref="D725:P725"/>
    <mergeCell ref="D743:P743"/>
    <mergeCell ref="D744:P744"/>
    <mergeCell ref="D746:P747"/>
    <mergeCell ref="I649:P649"/>
    <mergeCell ref="D679:P680"/>
    <mergeCell ref="D770:P771"/>
    <mergeCell ref="D773:P774"/>
    <mergeCell ref="D652:P652"/>
    <mergeCell ref="D653:P653"/>
    <mergeCell ref="D749:P750"/>
    <mergeCell ref="D703:P704"/>
    <mergeCell ref="D682:P683"/>
    <mergeCell ref="D700:P701"/>
    <mergeCell ref="D694:P695"/>
    <mergeCell ref="D667:P668"/>
    <mergeCell ref="D658:P659"/>
    <mergeCell ref="D685:P686"/>
    <mergeCell ref="D673:P674"/>
    <mergeCell ref="D670:P671"/>
    <mergeCell ref="D718:P719"/>
    <mergeCell ref="D715:P716"/>
    <mergeCell ref="D623:P624"/>
    <mergeCell ref="D620:P621"/>
    <mergeCell ref="D636:P637"/>
    <mergeCell ref="D532:P533"/>
    <mergeCell ref="D535:P536"/>
    <mergeCell ref="D538:P539"/>
    <mergeCell ref="D602:P603"/>
    <mergeCell ref="D605:P606"/>
    <mergeCell ref="D608:P609"/>
    <mergeCell ref="D617:P618"/>
    <mergeCell ref="D614:P615"/>
    <mergeCell ref="D596:P597"/>
    <mergeCell ref="D593:P594"/>
    <mergeCell ref="D590:P591"/>
    <mergeCell ref="D569:P570"/>
    <mergeCell ref="D541:P542"/>
    <mergeCell ref="D575:P576"/>
    <mergeCell ref="D572:P573"/>
    <mergeCell ref="D581:P582"/>
    <mergeCell ref="D578:P579"/>
    <mergeCell ref="D599:P600"/>
    <mergeCell ref="I633:P633"/>
    <mergeCell ref="D626:P627"/>
    <mergeCell ref="D587:P588"/>
    <mergeCell ref="D611:P612"/>
    <mergeCell ref="J54:M54"/>
    <mergeCell ref="D327:P328"/>
    <mergeCell ref="D330:P331"/>
    <mergeCell ref="D333:P334"/>
    <mergeCell ref="D336:P337"/>
    <mergeCell ref="D478:P479"/>
    <mergeCell ref="D481:P482"/>
    <mergeCell ref="D484:P485"/>
    <mergeCell ref="D379:P380"/>
    <mergeCell ref="D382:P383"/>
    <mergeCell ref="D385:P386"/>
    <mergeCell ref="D388:P389"/>
    <mergeCell ref="D529:P529"/>
    <mergeCell ref="D324:P325"/>
    <mergeCell ref="D342:P343"/>
    <mergeCell ref="D345:P346"/>
    <mergeCell ref="D257:P258"/>
    <mergeCell ref="D260:P261"/>
    <mergeCell ref="D263:P264"/>
    <mergeCell ref="D266:P267"/>
    <mergeCell ref="D269:P270"/>
    <mergeCell ref="D272:P273"/>
    <mergeCell ref="D278:P279"/>
    <mergeCell ref="D318:P319"/>
    <mergeCell ref="D321:P322"/>
    <mergeCell ref="D409:P410"/>
    <mergeCell ref="D412:P413"/>
    <mergeCell ref="D476:P476"/>
    <mergeCell ref="D448:P449"/>
    <mergeCell ref="D364:P365"/>
    <mergeCell ref="D373:P374"/>
    <mergeCell ref="D367:P368"/>
    <mergeCell ref="D433:P434"/>
    <mergeCell ref="D427:P428"/>
    <mergeCell ref="D424:P425"/>
    <mergeCell ref="D370:P371"/>
    <mergeCell ref="D421:P422"/>
    <mergeCell ref="D442:P443"/>
    <mergeCell ref="D439:P440"/>
    <mergeCell ref="D415:P416"/>
    <mergeCell ref="D430:P431"/>
    <mergeCell ref="D403:P404"/>
    <mergeCell ref="D457:P458"/>
    <mergeCell ref="D361:P362"/>
    <mergeCell ref="D511:P512"/>
    <mergeCell ref="D356:P356"/>
    <mergeCell ref="D391:P392"/>
    <mergeCell ref="D394:P395"/>
    <mergeCell ref="D397:P398"/>
    <mergeCell ref="D400:P401"/>
    <mergeCell ref="D436:P436"/>
    <mergeCell ref="D437:P437"/>
    <mergeCell ref="D460:P460"/>
    <mergeCell ref="D461:P461"/>
    <mergeCell ref="D451:P452"/>
    <mergeCell ref="D454:P455"/>
    <mergeCell ref="D487:P488"/>
    <mergeCell ref="D463:P464"/>
    <mergeCell ref="D469:P470"/>
    <mergeCell ref="D472:P473"/>
    <mergeCell ref="D445:P446"/>
    <mergeCell ref="D376:P377"/>
    <mergeCell ref="D466:P467"/>
    <mergeCell ref="D846:P847"/>
    <mergeCell ref="D849:P850"/>
    <mergeCell ref="D852:P853"/>
    <mergeCell ref="I843:P843"/>
    <mergeCell ref="D855:P856"/>
    <mergeCell ref="D858:P859"/>
    <mergeCell ref="D861:P862"/>
    <mergeCell ref="D864:P865"/>
    <mergeCell ref="D867:P868"/>
    <mergeCell ref="D897:P898"/>
    <mergeCell ref="D900:P901"/>
    <mergeCell ref="D903:P904"/>
    <mergeCell ref="D906:P907"/>
    <mergeCell ref="D870:P871"/>
    <mergeCell ref="D873:P874"/>
    <mergeCell ref="D876:P877"/>
    <mergeCell ref="D879:P880"/>
    <mergeCell ref="D882:P883"/>
    <mergeCell ref="D885:P886"/>
    <mergeCell ref="D888:P889"/>
    <mergeCell ref="D891:P892"/>
    <mergeCell ref="D894:P895"/>
    <mergeCell ref="D6:D8"/>
    <mergeCell ref="C6:C8"/>
    <mergeCell ref="C9:C10"/>
    <mergeCell ref="D9:D10"/>
    <mergeCell ref="C11:C12"/>
    <mergeCell ref="D11:D12"/>
    <mergeCell ref="B6:B14"/>
    <mergeCell ref="C13:C14"/>
    <mergeCell ref="D13:D14"/>
    <mergeCell ref="D839:P840"/>
    <mergeCell ref="F57:U57"/>
    <mergeCell ref="F54:I54"/>
    <mergeCell ref="C16:C17"/>
    <mergeCell ref="C18:C19"/>
    <mergeCell ref="C23:C24"/>
    <mergeCell ref="C25:C26"/>
    <mergeCell ref="C27:C28"/>
    <mergeCell ref="B23:B30"/>
    <mergeCell ref="C29:C30"/>
    <mergeCell ref="D18:D19"/>
    <mergeCell ref="D16:D17"/>
    <mergeCell ref="D23:D24"/>
    <mergeCell ref="D25:D26"/>
    <mergeCell ref="D27:D28"/>
    <mergeCell ref="D29:D30"/>
    <mergeCell ref="C20:C21"/>
    <mergeCell ref="D20:D21"/>
    <mergeCell ref="B16:B21"/>
    <mergeCell ref="I495:P495"/>
    <mergeCell ref="I502:P502"/>
    <mergeCell ref="D508:P509"/>
    <mergeCell ref="D505:P505"/>
    <mergeCell ref="D506:P506"/>
  </mergeCells>
  <conditionalFormatting sqref="F507:S507">
    <cfRule type="expression" dxfId="1148" priority="2819">
      <formula>IF(OR($F$507="Aufgrund Ihren bisherigen Antworten gibt es keine weiteren Frage für das Kriterium ''Wohlbefinden und Gesundheit''.","En raison de vos réponses précédentes, il ne reste plus de question dans le domaine ''Bien-être et santé''."),TRUE,FALSE)</formula>
    </cfRule>
  </conditionalFormatting>
  <conditionalFormatting sqref="Y153">
    <cfRule type="expression" dxfId="1147" priority="625">
      <formula>IF(OR($F$507="Aufgrund Ihren bisherigen Antworten gibt es keine weiteren Frage für das Kriterium ''Wohlbefinden und Gesundheit''.","En raison de vos réponses précédentes, il ne reste plus de question dans le domaine ''Bien-être et santé''."),TRUE,FALSE)</formula>
    </cfRule>
  </conditionalFormatting>
  <conditionalFormatting sqref="B424:B425 B436:B437 B451:B452 B460:B461 B463:B464 B475:B476 B559:B560 B562:B563 B565:B566 B783">
    <cfRule type="expression" dxfId="1146" priority="623">
      <formula>IF($F$57="Klimafit-Check",TRUE,FALSE)</formula>
    </cfRule>
  </conditionalFormatting>
  <conditionalFormatting sqref="B490:B492 B494:B495 B501:B502 B504:B505 B655:B656 B71459 B676:B677 B782 B658:B659 B661:B662 B664:B665 B667:B668 B670:B671 B673:B674 B682:B683 B685:B686 B688:B689 B691:B692 B694:B695 B697:B698 B700:B701 B703:B704 B706:B707 B709:B713 B718:B719 B746:B747 B758:B759 B761:B762 B785:B786 B788:B789 B791:B792 B679:B680">
    <cfRule type="expression" dxfId="1145" priority="622">
      <formula>IF($F$57="Klimafit-Check",TRUE,FALSE)</formula>
    </cfRule>
  </conditionalFormatting>
  <conditionalFormatting sqref="B529:B530">
    <cfRule type="expression" dxfId="1144" priority="621">
      <formula>IF($F$57="Klimafit-Check",TRUE,FALSE)</formula>
    </cfRule>
  </conditionalFormatting>
  <conditionalFormatting sqref="B652:B653">
    <cfRule type="expression" dxfId="1143" priority="620">
      <formula>IF($F$57="Klimafit-Check",TRUE,FALSE)</formula>
    </cfRule>
  </conditionalFormatting>
  <conditionalFormatting sqref="B743">
    <cfRule type="expression" dxfId="1142" priority="616">
      <formula>IF($F$57="Klimafit-Check",TRUE,FALSE)</formula>
    </cfRule>
  </conditionalFormatting>
  <conditionalFormatting sqref="B744">
    <cfRule type="expression" dxfId="1141" priority="615">
      <formula>IF($F$57="Klimafit-Check",TRUE,FALSE)</formula>
    </cfRule>
  </conditionalFormatting>
  <conditionalFormatting sqref="F490:S490">
    <cfRule type="expression" dxfId="1140" priority="528">
      <formula>IF(OR($F$507="Aufgrund Ihren bisherigen Antworten gibt es keine weiteren Frage für das Kriterium ''Wohlbefinden und Gesundheit''.","En raison de vos réponses précédentes, il ne reste plus de question dans le domaine ''Bien-être et santé''."),TRUE,FALSE)</formula>
    </cfRule>
  </conditionalFormatting>
  <conditionalFormatting sqref="F510:S510">
    <cfRule type="expression" dxfId="1139" priority="527">
      <formula>IF(OR($F$507="Aufgrund Ihren bisherigen Antworten gibt es keine weiteren Frage für das Kriterium ''Wohlbefinden und Gesundheit''.","En raison de vos réponses précédentes, il ne reste plus de question dans le domaine ''Bien-être et santé''."),TRUE,FALSE)</formula>
    </cfRule>
  </conditionalFormatting>
  <conditionalFormatting sqref="F513:S513">
    <cfRule type="expression" dxfId="1138" priority="526">
      <formula>IF(OR($F$507="Aufgrund Ihren bisherigen Antworten gibt es keine weiteren Frage für das Kriterium ''Wohlbefinden und Gesundheit''.","En raison de vos réponses précédentes, il ne reste plus de question dans le domaine ''Bien-être et santé''."),TRUE,FALSE)</formula>
    </cfRule>
  </conditionalFormatting>
  <conditionalFormatting sqref="B715:B716">
    <cfRule type="expression" dxfId="1137" priority="141">
      <formula>IF($F$57="Klimafit-Check",TRUE,FALSE)</formula>
    </cfRule>
  </conditionalFormatting>
  <conditionalFormatting sqref="B721:B722">
    <cfRule type="expression" dxfId="1136" priority="140">
      <formula>IF($F$57="Klimafit-Check",TRUE,FALSE)</formula>
    </cfRule>
  </conditionalFormatting>
  <conditionalFormatting sqref="B727:B728">
    <cfRule type="expression" dxfId="1135" priority="139">
      <formula>IF($F$57="Klimafit-Check",TRUE,FALSE)</formula>
    </cfRule>
  </conditionalFormatting>
  <conditionalFormatting sqref="B730:B731">
    <cfRule type="expression" dxfId="1134" priority="138">
      <formula>IF($F$57="Klimafit-Check",TRUE,FALSE)</formula>
    </cfRule>
  </conditionalFormatting>
  <conditionalFormatting sqref="B733:B734">
    <cfRule type="expression" dxfId="1133" priority="137">
      <formula>IF($F$57="Klimafit-Check",TRUE,FALSE)</formula>
    </cfRule>
  </conditionalFormatting>
  <conditionalFormatting sqref="B749:B750">
    <cfRule type="expression" dxfId="1132" priority="136">
      <formula>IF($F$57="Klimafit-Check",TRUE,FALSE)</formula>
    </cfRule>
  </conditionalFormatting>
  <conditionalFormatting sqref="B752:B753">
    <cfRule type="expression" dxfId="1131" priority="135">
      <formula>IF($F$57="Klimafit-Check",TRUE,FALSE)</formula>
    </cfRule>
  </conditionalFormatting>
  <conditionalFormatting sqref="B755:B756">
    <cfRule type="expression" dxfId="1130" priority="134">
      <formula>IF($F$57="Klimafit-Check",TRUE,FALSE)</formula>
    </cfRule>
  </conditionalFormatting>
  <conditionalFormatting sqref="B764:B765">
    <cfRule type="expression" dxfId="1129" priority="133">
      <formula>IF($F$57="Klimafit-Check",TRUE,FALSE)</formula>
    </cfRule>
  </conditionalFormatting>
  <conditionalFormatting sqref="B767:B768">
    <cfRule type="expression" dxfId="1128" priority="132">
      <formula>IF($F$57="Klimafit-Check",TRUE,FALSE)</formula>
    </cfRule>
  </conditionalFormatting>
  <conditionalFormatting sqref="B770:B771">
    <cfRule type="expression" dxfId="1127" priority="131">
      <formula>IF($F$57="Klimafit-Check",TRUE,FALSE)</formula>
    </cfRule>
  </conditionalFormatting>
  <conditionalFormatting sqref="B773:B774">
    <cfRule type="expression" dxfId="1126" priority="130">
      <formula>IF($F$57="Klimafit-Check",TRUE,FALSE)</formula>
    </cfRule>
  </conditionalFormatting>
  <conditionalFormatting sqref="B776:B777">
    <cfRule type="expression" dxfId="1125" priority="129">
      <formula>IF($F$57="Klimafit-Check",TRUE,FALSE)</formula>
    </cfRule>
  </conditionalFormatting>
  <conditionalFormatting sqref="B779:B780">
    <cfRule type="expression" dxfId="1124" priority="128">
      <formula>IF($F$57="Klimafit-Check",TRUE,FALSE)</formula>
    </cfRule>
  </conditionalFormatting>
  <conditionalFormatting sqref="B794:B795">
    <cfRule type="expression" dxfId="1123" priority="127">
      <formula>IF($F$57="Klimafit-Check",TRUE,FALSE)</formula>
    </cfRule>
  </conditionalFormatting>
  <conditionalFormatting sqref="B797:B798">
    <cfRule type="expression" dxfId="1122" priority="126">
      <formula>IF($F$57="Klimafit-Check",TRUE,FALSE)</formula>
    </cfRule>
  </conditionalFormatting>
  <conditionalFormatting sqref="B800:B801">
    <cfRule type="expression" dxfId="1121" priority="125">
      <formula>IF($F$57="Klimafit-Check",TRUE,FALSE)</formula>
    </cfRule>
  </conditionalFormatting>
  <conditionalFormatting sqref="B803:B804">
    <cfRule type="expression" dxfId="1120" priority="124">
      <formula>IF($F$57="Klimafit-Check",TRUE,FALSE)</formula>
    </cfRule>
  </conditionalFormatting>
  <conditionalFormatting sqref="B806:B807">
    <cfRule type="expression" dxfId="1119" priority="123">
      <formula>IF($F$57="Klimafit-Check",TRUE,FALSE)</formula>
    </cfRule>
  </conditionalFormatting>
  <conditionalFormatting sqref="B809">
    <cfRule type="expression" dxfId="1118" priority="118">
      <formula>IF($F$57="Klimafit-Check",TRUE,FALSE)</formula>
    </cfRule>
  </conditionalFormatting>
  <conditionalFormatting sqref="B812">
    <cfRule type="expression" dxfId="1117" priority="117">
      <formula>IF($F$57="Klimafit-Check",TRUE,FALSE)</formula>
    </cfRule>
  </conditionalFormatting>
  <conditionalFormatting sqref="B815">
    <cfRule type="expression" dxfId="1116" priority="116">
      <formula>IF($F$57="Klimafit-Check",TRUE,FALSE)</formula>
    </cfRule>
  </conditionalFormatting>
  <conditionalFormatting sqref="B818">
    <cfRule type="expression" dxfId="1115" priority="115">
      <formula>IF($F$57="Klimafit-Check",TRUE,FALSE)</formula>
    </cfRule>
  </conditionalFormatting>
  <conditionalFormatting sqref="B821">
    <cfRule type="expression" dxfId="1114" priority="114">
      <formula>IF($F$57="Klimafit-Check",TRUE,FALSE)</formula>
    </cfRule>
  </conditionalFormatting>
  <conditionalFormatting sqref="B824">
    <cfRule type="expression" dxfId="1113" priority="113">
      <formula>IF($F$57="Klimafit-Check",TRUE,FALSE)</formula>
    </cfRule>
  </conditionalFormatting>
  <conditionalFormatting sqref="B827">
    <cfRule type="expression" dxfId="1112" priority="112">
      <formula>IF($F$57="Klimafit-Check",TRUE,FALSE)</formula>
    </cfRule>
  </conditionalFormatting>
  <conditionalFormatting sqref="B830">
    <cfRule type="expression" dxfId="1111" priority="111">
      <formula>IF($F$57="Klimafit-Check",TRUE,FALSE)</formula>
    </cfRule>
  </conditionalFormatting>
  <conditionalFormatting sqref="B833">
    <cfRule type="expression" dxfId="1110" priority="110">
      <formula>IF($F$57="Klimafit-Check",TRUE,FALSE)</formula>
    </cfRule>
  </conditionalFormatting>
  <conditionalFormatting sqref="B836">
    <cfRule type="expression" dxfId="1109" priority="109">
      <formula>IF($F$57="Klimafit-Check",TRUE,FALSE)</formula>
    </cfRule>
  </conditionalFormatting>
  <conditionalFormatting sqref="B846">
    <cfRule type="expression" dxfId="1108" priority="108">
      <formula>IF($F$57="Klimafit-Check",TRUE,FALSE)</formula>
    </cfRule>
  </conditionalFormatting>
  <conditionalFormatting sqref="B849">
    <cfRule type="expression" dxfId="1107" priority="107">
      <formula>IF($F$57="Klimafit-Check",TRUE,FALSE)</formula>
    </cfRule>
  </conditionalFormatting>
  <conditionalFormatting sqref="B852">
    <cfRule type="expression" dxfId="1106" priority="106">
      <formula>IF($F$57="Klimafit-Check",TRUE,FALSE)</formula>
    </cfRule>
  </conditionalFormatting>
  <conditionalFormatting sqref="B855">
    <cfRule type="expression" dxfId="1105" priority="105">
      <formula>IF($F$57="Klimafit-Check",TRUE,FALSE)</formula>
    </cfRule>
  </conditionalFormatting>
  <conditionalFormatting sqref="B858">
    <cfRule type="expression" dxfId="1104" priority="104">
      <formula>IF($F$57="Klimafit-Check",TRUE,FALSE)</formula>
    </cfRule>
  </conditionalFormatting>
  <conditionalFormatting sqref="B861">
    <cfRule type="expression" dxfId="1103" priority="103">
      <formula>IF($F$57="Klimafit-Check",TRUE,FALSE)</formula>
    </cfRule>
  </conditionalFormatting>
  <conditionalFormatting sqref="B864">
    <cfRule type="expression" dxfId="1102" priority="102">
      <formula>IF($F$57="Klimafit-Check",TRUE,FALSE)</formula>
    </cfRule>
  </conditionalFormatting>
  <conditionalFormatting sqref="B867">
    <cfRule type="expression" dxfId="1101" priority="101">
      <formula>IF($F$57="Klimafit-Check",TRUE,FALSE)</formula>
    </cfRule>
  </conditionalFormatting>
  <conditionalFormatting sqref="B870">
    <cfRule type="expression" dxfId="1100" priority="100">
      <formula>IF($F$57="Klimafit-Check",TRUE,FALSE)</formula>
    </cfRule>
  </conditionalFormatting>
  <conditionalFormatting sqref="B873">
    <cfRule type="expression" dxfId="1099" priority="99">
      <formula>IF($F$57="Klimafit-Check",TRUE,FALSE)</formula>
    </cfRule>
  </conditionalFormatting>
  <conditionalFormatting sqref="B876">
    <cfRule type="expression" dxfId="1098" priority="98">
      <formula>IF($F$57="Klimafit-Check",TRUE,FALSE)</formula>
    </cfRule>
  </conditionalFormatting>
  <conditionalFormatting sqref="B879">
    <cfRule type="expression" dxfId="1097" priority="97">
      <formula>IF($F$57="Klimafit-Check",TRUE,FALSE)</formula>
    </cfRule>
  </conditionalFormatting>
  <conditionalFormatting sqref="B882">
    <cfRule type="expression" dxfId="1096" priority="96">
      <formula>IF($F$57="Klimafit-Check",TRUE,FALSE)</formula>
    </cfRule>
  </conditionalFormatting>
  <conditionalFormatting sqref="B885">
    <cfRule type="expression" dxfId="1095" priority="95">
      <formula>IF($F$57="Klimafit-Check",TRUE,FALSE)</formula>
    </cfRule>
  </conditionalFormatting>
  <conditionalFormatting sqref="B888">
    <cfRule type="expression" dxfId="1094" priority="94">
      <formula>IF($F$57="Klimafit-Check",TRUE,FALSE)</formula>
    </cfRule>
  </conditionalFormatting>
  <conditionalFormatting sqref="B891">
    <cfRule type="expression" dxfId="1093" priority="93">
      <formula>IF($F$57="Klimafit-Check",TRUE,FALSE)</formula>
    </cfRule>
  </conditionalFormatting>
  <conditionalFormatting sqref="B894">
    <cfRule type="expression" dxfId="1092" priority="92">
      <formula>IF($F$57="Klimafit-Check",TRUE,FALSE)</formula>
    </cfRule>
  </conditionalFormatting>
  <conditionalFormatting sqref="B897">
    <cfRule type="expression" dxfId="1091" priority="91">
      <formula>IF($F$57="Klimafit-Check",TRUE,FALSE)</formula>
    </cfRule>
  </conditionalFormatting>
  <conditionalFormatting sqref="B900">
    <cfRule type="expression" dxfId="1090" priority="90">
      <formula>IF($F$57="Klimafit-Check",TRUE,FALSE)</formula>
    </cfRule>
  </conditionalFormatting>
  <conditionalFormatting sqref="B903">
    <cfRule type="expression" dxfId="1089" priority="89">
      <formula>IF($F$57="Klimafit-Check",TRUE,FALSE)</formula>
    </cfRule>
  </conditionalFormatting>
  <conditionalFormatting sqref="B906">
    <cfRule type="expression" dxfId="1088" priority="88">
      <formula>IF($F$57="Klimafit-Check",TRUE,FALSE)</formula>
    </cfRule>
  </conditionalFormatting>
  <conditionalFormatting sqref="B839">
    <cfRule type="expression" dxfId="1087" priority="1">
      <formula>IF($F$57="Klimafit-Check",TRUE,FALSE)</formula>
    </cfRule>
  </conditionalFormatting>
  <dataValidations xWindow="1428" yWindow="1348" count="18">
    <dataValidation allowBlank="1" showInputMessage="1" showErrorMessage="1" prompt="144 145 322 334" sqref="W119:Y120 W122:Y123" xr:uid="{00000000-0002-0000-0200-000000000000}"/>
    <dataValidation type="list" allowBlank="1" showInputMessage="1" showErrorMessage="1" sqref="S69" xr:uid="{00000000-0002-0000-0200-000002000000}">
      <formula1>_03_Neubau_Ersatzbau_Erneuerung_Bestand</formula1>
    </dataValidation>
    <dataValidation type="list" allowBlank="1" showInputMessage="1" showErrorMessage="1" sqref="S72:T72" xr:uid="{00000000-0002-0000-0200-000003000000}">
      <formula1>_02_Wohnen_Verwaltung_EG_nutzung_Schule_Anderes</formula1>
    </dataValidation>
    <dataValidation type="list" allowBlank="1" showInputMessage="1" showErrorMessage="1" sqref="S78" xr:uid="{00000000-0002-0000-0200-000004000000}">
      <formula1>_05_Stadt_Agglo_Land</formula1>
    </dataValidation>
    <dataValidation type="list" allowBlank="1" showInputMessage="1" showErrorMessage="1" sqref="S81" xr:uid="{00000000-0002-0000-0200-000005000000}">
      <formula1>_04_ÖV_Güteklasse</formula1>
    </dataValidation>
    <dataValidation type="list" allowBlank="1" showInputMessage="1" showErrorMessage="1" sqref="S93" xr:uid="{00000000-0002-0000-0200-000006000000}">
      <formula1>_06_Vermietung_Verkau_fEigennutzung_Öffentliche_Hand_anderes</formula1>
    </dataValidation>
    <dataValidation type="list" allowBlank="1" showInputMessage="1" showErrorMessage="1" sqref="S129" xr:uid="{00000000-0002-0000-0200-000007000000}">
      <formula1>_07B_Hoch__Mittel_Tief_Weiss_nicht</formula1>
    </dataValidation>
    <dataValidation type="list" allowBlank="1" showInputMessage="1" showErrorMessage="1" sqref="S99 S117 S120 S123 S126 S530 S765 S570 S167 S170 S173 S176 S194 S197 S200 S203 S206 S218 S707 S297:S300 S692 S316 S780 S343 S862 S258 S261 S267 S270 S359 S410 S859 S365 S865 S868 S488 S542 S545 S548 S554 S557 S509 S512 S515 S230 S579 S582 S585 S588 S591 S594 S615 S567 S621 S506 S801 S768 S656 S659 S668 S671 S674 S907 S665 S729:S731 S362 S895 S898 S325 S840 S795 S734 S389 S744 S747 S871 S874 S346:S349 S518 S84 S145 S148 S209 S212 S221 S224 S227 S255 S319 S313 S904 S282 S404 S407 S877 S880 S883 S901 S294 S392 S401 S398 S377 S521 S524 S551 S576 S573 S252 S786 S600 S750 S777 S774 S771 S105 S163 S90 S96 S215 S273 S371 S368 S413 S416 S374 S422 S889 S473 S627 S662 S395 S792 S789 S419 S892 S467 S470 S753 S756 S759 S428 S597 S310 S279 S179 S151 S539 S536 S533 S527 S485 S482 S479 S476 S356 S386 S383 S380 S334 S331 S328 S236 S783 S233 S191 S188 S185 S182 S160 S157 S612 S609 S606 S603 S624 S689 S762 S291 S710 S804 S807 S810 S813 S816 S819 S822 S825 S828 S831 S834 S837 S847 S850 S853 S856 S425 S464 S431 S461 S452 S449 S443 S446 S434 S437 S440 S455 S458" xr:uid="{00000000-0002-0000-0200-000008000000}">
      <formula1>_01A_Ja_Nein_Weiss_nicht</formula1>
    </dataValidation>
    <dataValidation type="list" allowBlank="1" showInputMessage="1" showErrorMessage="1" sqref="S653 S689 S695 S707 S725" xr:uid="{00000000-0002-0000-0200-00000B000000}">
      <formula1>_01C_Ja_Noch_keine_Berechnung_Richtwert_überboten_Weiss_nicht</formula1>
    </dataValidation>
    <dataValidation type="list" allowBlank="1" showInputMessage="1" showErrorMessage="1" sqref="S102" xr:uid="{00000000-0002-0000-0200-00000D000000}">
      <formula1>_07A_Hoch_Mittel_Tief</formula1>
    </dataValidation>
    <dataValidation type="list" allowBlank="1" showInputMessage="1" showErrorMessage="1" sqref="S75" xr:uid="{00000000-0002-0000-0200-00000F000000}">
      <formula1>_02_A_Schultyp</formula1>
    </dataValidation>
    <dataValidation type="list" allowBlank="1" showInputMessage="1" showErrorMessage="1" sqref="S142 S154 S246 S264 S276 S285 S288 S340 S337 S618 S886 S798 S713:S714 S716 S718 S720 S722" xr:uid="{E8B5F879-5A64-478B-A7C8-BA5BF67C5D14}">
      <formula1>_01Abis_Ja_Nein_Teilweise_Weiss_nicht</formula1>
    </dataValidation>
    <dataValidation type="list" allowBlank="1" showInputMessage="1" showErrorMessage="1" sqref="S307" xr:uid="{D76B5431-0F4D-4541-89D1-9C9EDDD51CB8}">
      <formula1>_01C_Ja_Nur_in_Aussenraum</formula1>
    </dataValidation>
    <dataValidation type="list" allowBlank="1" showInputMessage="1" showErrorMessage="1" sqref="S322" xr:uid="{14F63489-D337-47B7-8B35-9FC57326685D}">
      <formula1>_01B_Ja_Nur_in_einem_Bereich_Nein_Weiss_nicht</formula1>
    </dataValidation>
    <dataValidation type="list" allowBlank="1" showInputMessage="1" showErrorMessage="1" sqref="S637" xr:uid="{985ABFBD-CCB1-444B-876B-680558678A24}">
      <formula1>_10_unter_19_über_70</formula1>
    </dataValidation>
    <dataValidation type="list" allowBlank="1" showInputMessage="1" showErrorMessage="1" sqref="S686" xr:uid="{27818E5E-EFDF-4A2F-9CC6-78F50D71FC75}">
      <formula1>_11_Ja_30_besser_Minergie</formula1>
    </dataValidation>
    <dataValidation type="list" allowBlank="1" showInputMessage="1" showErrorMessage="1" sqref="S704" xr:uid="{BC44E094-0029-42A6-91A0-C97BA77B4C8A}">
      <formula1>_12_Ja_Eigenstromproduktion</formula1>
    </dataValidation>
    <dataValidation allowBlank="1" showInputMessage="1" showErrorMessage="1" prompt="142 144 145 146 213 311 321 322 332 334 342_x000a_Erneuerung / Rénovation / Risanamento: _x000a_142 144 145 213 311 321 322 331 332 334 342" sqref="X116 V117:Y117" xr:uid="{20F7FBD5-E3B7-40D8-8EFD-F6A7AFB85AE1}"/>
  </dataValidations>
  <pageMargins left="0.70866141732283472" right="0.70866141732283472" top="0.78740157480314965" bottom="0.78740157480314965" header="0.31496062992125984" footer="0.31496062992125984"/>
  <pageSetup paperSize="9" scale="38" fitToHeight="0" orientation="portrait" verticalDpi="1200" r:id="rId1"/>
  <rowBreaks count="1" manualBreakCount="1">
    <brk id="692" max="16383" man="1"/>
  </rowBreaks>
  <ignoredErrors>
    <ignoredError sqref="B68:B140 B237 B240 B302:B304 B142:B143 B568 B647:B654 B628:B638 B734 B641:B643 B735:B745 B792:B793 B789:B790 B786:B787 B783:B784 B780:B781 B777:B778 B774" numberStoredAsText="1"/>
    <ignoredError sqref="D54 F54 G2 G4 J2 J4 M2 M4 P2 P4 S2 V117 V120 S910" unlocked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9363" id="{D5DB3E0F-E7CD-499D-A7F4-F09060CDE874}">
            <xm:f>IF(Text!$AY$25=-2,TRUE,FALSE)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9364" id="{04C8810C-43B4-44E6-A220-694CAC90EE57}">
            <xm:f>IF(Text!$AY$25=-1,TRUE,FALSE)</xm:f>
            <x14:dxf>
              <font>
                <color rgb="FFFF0000"/>
              </font>
            </x14:dxf>
          </x14:cfRule>
          <x14:cfRule type="expression" priority="9365" id="{735DC2C8-FA5D-4BDD-9475-B0751437FCD9}">
            <xm:f>IF(Text!$AY$25=1,TRUE,FALSE)</xm:f>
            <x14:dxf>
              <font>
                <color theme="9" tint="-0.24994659260841701"/>
              </font>
            </x14:dxf>
          </x14:cfRule>
          <x14:cfRule type="expression" priority="9366" id="{AAE4EC75-7848-4902-BD45-8466661A5069}">
            <xm:f>IF(Text!$AY$25=2,TRUE,FALSE)</xm:f>
            <x14:dxf>
              <font>
                <b/>
                <i val="0"/>
                <strike/>
                <color theme="9" tint="-0.24994659260841701"/>
              </font>
            </x14:dxf>
          </x14:cfRule>
          <xm:sqref>S9</xm:sqref>
        </x14:conditionalFormatting>
        <x14:conditionalFormatting xmlns:xm="http://schemas.microsoft.com/office/excel/2006/main">
          <x14:cfRule type="expression" priority="9508" id="{DA821D5F-F8C1-4EBE-B68C-33B7C226C48B}">
            <xm:f>IF(Text!$AS$43=-2,TRUE,FALSE)</xm:f>
            <x14:dxf>
              <font>
                <b/>
                <i val="0"/>
                <color rgb="FFFF0000"/>
              </font>
              <border>
                <left style="thin">
                  <color rgb="FFFF0000"/>
                </left>
                <right style="thin">
                  <color rgb="FFFF0000"/>
                </right>
                <top style="thin">
                  <color rgb="FFFF0000"/>
                </top>
                <bottom style="thin">
                  <color rgb="FFFF0000"/>
                </bottom>
              </border>
            </x14:dxf>
          </x14:cfRule>
          <x14:cfRule type="expression" priority="9509" id="{80C1C78D-3B43-4203-90EB-317E818CFADF}">
            <xm:f>IF(Text!$AS$43=-1,TRUE,FALSE)</xm:f>
            <x14:dxf>
              <font>
                <color rgb="FFFF0000"/>
              </font>
            </x14:dxf>
          </x14:cfRule>
          <x14:cfRule type="expression" priority="9510" id="{3F791556-0066-4061-A4F4-6CBEC61BC604}">
            <xm:f>IF(Text!$AS$43=1,TRUE,FALSE)</xm:f>
            <x14:dxf>
              <font>
                <color theme="9" tint="-0.24994659260841701"/>
              </font>
            </x14:dxf>
          </x14:cfRule>
          <x14:cfRule type="expression" priority="9511" id="{EE6B677A-D21C-4378-B6C5-357F5666B5E6}">
            <xm:f>IF(Text!$AS$43=2,TRUE,FALSE)</xm:f>
            <x14:dxf>
              <font>
                <b/>
                <i val="0"/>
                <strike/>
                <color theme="9" tint="-0.24994659260841701"/>
              </font>
            </x14:dxf>
          </x14:cfRule>
          <xm:sqref>M20:M21</xm:sqref>
        </x14:conditionalFormatting>
        <x14:conditionalFormatting xmlns:xm="http://schemas.microsoft.com/office/excel/2006/main">
          <x14:cfRule type="expression" priority="9733" id="{71C24AD8-014C-4A07-BCE8-CC7BEC038B17}">
            <xm:f>IF(Text!$AY$47=-2,TRUE,FALSE)</xm:f>
            <x14:dxf>
              <font>
                <b/>
                <i val="0"/>
                <color rgb="FFFF0000"/>
              </font>
              <border>
                <left style="thin">
                  <color rgb="FFFF0000"/>
                </left>
                <right style="thin">
                  <color rgb="FFFF0000"/>
                </right>
                <top style="thin">
                  <color rgb="FFFF0000"/>
                </top>
                <bottom style="thin">
                  <color rgb="FFFF0000"/>
                </bottom>
              </border>
            </x14:dxf>
          </x14:cfRule>
          <x14:cfRule type="expression" priority="9734" id="{5BED989D-33C7-43CD-BE16-21F698A95595}">
            <xm:f>IF(Text!$AY$47=-1,TRUE,FALSE)</xm:f>
            <x14:dxf>
              <font>
                <color rgb="FFFF0000"/>
              </font>
            </x14:dxf>
          </x14:cfRule>
          <x14:cfRule type="expression" priority="9735" id="{B14B5C9E-505B-4DAD-911A-E15A9827ACB9}">
            <xm:f>IF(Text!$AY$47=1,TRUE,FALSE)</xm:f>
            <x14:dxf>
              <font>
                <color theme="9" tint="-0.24994659260841701"/>
              </font>
            </x14:dxf>
          </x14:cfRule>
          <x14:cfRule type="expression" priority="9736" id="{F956BFD1-F540-45A1-9ABA-037B9E73EEFB}">
            <xm:f>IF(Text!$AY$47=2,TRUE,FALSE)</xm:f>
            <x14:dxf>
              <font>
                <b/>
                <i val="0"/>
                <strike/>
                <color theme="9" tint="-0.24994659260841701"/>
              </font>
            </x14:dxf>
          </x14:cfRule>
          <xm:sqref>M25</xm:sqref>
        </x14:conditionalFormatting>
        <x14:conditionalFormatting xmlns:xm="http://schemas.microsoft.com/office/excel/2006/main">
          <x14:cfRule type="expression" priority="9974" id="{8EFFED5A-5A0C-47B7-AF4C-95D030BC8DCB}">
            <xm:f>IF(Text!$AV$42=-2,TRUE,FALSE)</xm:f>
            <x14:dxf>
              <font>
                <b/>
                <i val="0"/>
                <color rgb="FFFF0000"/>
              </font>
              <border>
                <left style="thin">
                  <color rgb="FFFF0000"/>
                </left>
                <right style="thin">
                  <color rgb="FFFF0000"/>
                </right>
                <top style="thin">
                  <color rgb="FFFF0000"/>
                </top>
                <bottom style="thin">
                  <color rgb="FFFF0000"/>
                </bottom>
              </border>
            </x14:dxf>
          </x14:cfRule>
          <x14:cfRule type="expression" priority="9975" id="{83F7EE9B-6020-4BA7-AC3F-D47C600B9DAC}">
            <xm:f>IF(Text!$AV$42=-1,TRUE,FALSE)</xm:f>
            <x14:dxf>
              <font>
                <color rgb="FFFF0000"/>
              </font>
            </x14:dxf>
          </x14:cfRule>
          <x14:cfRule type="expression" priority="9976" id="{6E1A1ACB-227B-4F41-87B8-CE46B119F529}">
            <xm:f>IF(Text!$AV$42=1,TRUE,FALSE)</xm:f>
            <x14:dxf>
              <font>
                <color theme="9" tint="-0.24994659260841701"/>
              </font>
            </x14:dxf>
          </x14:cfRule>
          <x14:cfRule type="expression" priority="9977" id="{40F06382-1AA9-4B74-9002-12DA61615607}">
            <xm:f>IF(Text!$AV$42=2,TRUE,FALSE)</xm:f>
            <x14:dxf>
              <font>
                <b/>
                <i val="0"/>
                <strike/>
                <color theme="9" tint="-0.24994659260841701"/>
              </font>
            </x14:dxf>
          </x14:cfRule>
          <xm:sqref>J20:J21</xm:sqref>
        </x14:conditionalFormatting>
        <x14:conditionalFormatting xmlns:xm="http://schemas.microsoft.com/office/excel/2006/main">
          <x14:cfRule type="expression" priority="514" id="{6A9F0E4D-88F5-4259-858C-8C03AFE1E0F5}">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515" id="{E7015355-7E0F-414B-93D0-C3AF64C7FE1E}">
            <xm:f>IF(Text!$AV$24=-1,TRUE,FALSE)</xm:f>
            <x14:dxf>
              <font>
                <color rgb="FFFF0000"/>
              </font>
            </x14:dxf>
          </x14:cfRule>
          <x14:cfRule type="expression" priority="516" id="{338DB89C-8980-42AE-8720-8D21EFEFFD6A}">
            <xm:f>IF(Text!$AV$24=1,TRUE,FALSE)</xm:f>
            <x14:dxf>
              <font>
                <color theme="9" tint="-0.24994659260841701"/>
              </font>
            </x14:dxf>
          </x14:cfRule>
          <x14:cfRule type="expression" priority="517" id="{3A0A5F6C-F0ED-42E2-A5F4-B19FCFE1EC87}">
            <xm:f>IF(Text!$AV$24=2,TRUE,FALSE)</xm:f>
            <x14:dxf>
              <font>
                <b/>
                <i val="0"/>
                <strike/>
                <color theme="9" tint="-0.24994659260841701"/>
              </font>
            </x14:dxf>
          </x14:cfRule>
          <xm:sqref>J7</xm:sqref>
        </x14:conditionalFormatting>
        <x14:conditionalFormatting xmlns:xm="http://schemas.microsoft.com/office/excel/2006/main">
          <x14:cfRule type="expression" priority="341" id="{A407E66C-A900-4213-AF0C-24D12CCDA276}">
            <xm:f>IF(Text!$AV$23=-2,TRUE,FALSE)</xm:f>
            <x14:dxf>
              <font>
                <b/>
                <i val="0"/>
                <color rgb="FFFF0000"/>
              </font>
              <border>
                <left style="thin">
                  <color rgb="FFFF0000"/>
                </left>
                <right style="thin">
                  <color rgb="FFFF0000"/>
                </right>
                <top style="thin">
                  <color rgb="FFFF0000"/>
                </top>
                <bottom style="thin">
                  <color rgb="FFFF0000"/>
                </bottom>
              </border>
            </x14:dxf>
          </x14:cfRule>
          <x14:cfRule type="expression" priority="342" id="{543390C7-5EBC-4870-9C10-60D1E720373B}">
            <xm:f>IF(Text!$AV$23=-1,TRUE,FALSE)</xm:f>
            <x14:dxf>
              <font>
                <color rgb="FFFF0000"/>
              </font>
            </x14:dxf>
          </x14:cfRule>
          <x14:cfRule type="expression" priority="343" id="{0833B127-3F10-4DF5-9A28-716BD962779B}">
            <xm:f>IF(Text!$AV$23=1,TRUE,FALSE)</xm:f>
            <x14:dxf>
              <font>
                <color theme="9" tint="-0.24994659260841701"/>
              </font>
            </x14:dxf>
          </x14:cfRule>
          <x14:cfRule type="expression" priority="344" id="{9DD79EC4-3852-4684-A162-A7E3B52BC13A}">
            <xm:f>IF(Text!$AV$23=2,TRUE,FALSE)</xm:f>
            <x14:dxf>
              <font>
                <b/>
                <i val="0"/>
                <strike/>
                <color theme="9" tint="-0.24994659260841701"/>
              </font>
            </x14:dxf>
          </x14:cfRule>
          <xm:sqref>G7</xm:sqref>
        </x14:conditionalFormatting>
        <x14:conditionalFormatting xmlns:xm="http://schemas.microsoft.com/office/excel/2006/main">
          <x14:cfRule type="expression" priority="336" id="{9F3171E9-BE0A-4FAE-966C-D50BD7586D84}">
            <xm:f>IF(Text!$AV$26=-2,TRUE,FALSE)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337" id="{05F5A187-AFD8-4CE4-81B1-B58983F01087}">
            <xm:f>IF(Text!$AV$26=-1,TRUE,FALSE)</xm:f>
            <x14:dxf>
              <font>
                <color rgb="FFFF0000"/>
              </font>
            </x14:dxf>
          </x14:cfRule>
          <x14:cfRule type="expression" priority="338" id="{6FC99F38-4F36-40EC-B90F-BB0C8A50AC11}">
            <xm:f>IF(Text!$AV$26=1,TRUE,FALSE)</xm:f>
            <x14:dxf>
              <font>
                <color theme="9" tint="-0.24994659260841701"/>
              </font>
            </x14:dxf>
          </x14:cfRule>
          <x14:cfRule type="expression" priority="339" id="{A36A39CC-E410-40CB-A254-D104CA20C203}">
            <xm:f>IF(Text!$AV$26=2,TRUE,FALSE)</xm:f>
            <x14:dxf>
              <font>
                <b/>
                <i val="0"/>
                <strike/>
                <color theme="9" tint="-0.24994659260841701"/>
              </font>
            </x14:dxf>
          </x14:cfRule>
          <xm:sqref>M7</xm:sqref>
        </x14:conditionalFormatting>
        <x14:conditionalFormatting xmlns:xm="http://schemas.microsoft.com/office/excel/2006/main">
          <x14:cfRule type="expression" priority="331" id="{44E70BE7-9E68-47BD-85E2-1757FD2DF936}">
            <xm:f>IF(Text!$AV$27=-2,TRUE,FALSE)</xm:f>
            <x14:dxf>
              <font>
                <b/>
                <i val="0"/>
                <color rgb="FFFF0000"/>
              </font>
              <border>
                <left style="thin">
                  <color rgb="FFFF0000"/>
                </left>
                <right style="thin">
                  <color rgb="FFFF0000"/>
                </right>
                <top style="thin">
                  <color rgb="FFFF0000"/>
                </top>
                <bottom style="thin">
                  <color rgb="FFFF0000"/>
                </bottom>
              </border>
            </x14:dxf>
          </x14:cfRule>
          <x14:cfRule type="expression" priority="332" id="{C3321DC1-54C6-43F7-9E8F-9CC0967F6DFB}">
            <xm:f>IF(Text!$AV$27=-1,TRUE,FALSE)</xm:f>
            <x14:dxf>
              <font>
                <color rgb="FFFF0000"/>
              </font>
            </x14:dxf>
          </x14:cfRule>
          <x14:cfRule type="expression" priority="333" id="{1EC8B1A2-53C5-4817-96BE-ACE8B2F98CAF}">
            <xm:f>IF(Text!$AV$27=1,TRUE,FALSE)</xm:f>
            <x14:dxf>
              <font>
                <color theme="9" tint="-0.24994659260841701"/>
              </font>
            </x14:dxf>
          </x14:cfRule>
          <x14:cfRule type="expression" priority="334" id="{783A1ED2-DA60-49A9-8F40-CA219F325580}">
            <xm:f>IF(Text!$AV$27=2,TRUE,FALSE)</xm:f>
            <x14:dxf>
              <font>
                <b/>
                <i val="0"/>
                <strike/>
                <color theme="9" tint="-0.24994659260841701"/>
              </font>
            </x14:dxf>
          </x14:cfRule>
          <xm:sqref>M8</xm:sqref>
        </x14:conditionalFormatting>
        <x14:conditionalFormatting xmlns:xm="http://schemas.microsoft.com/office/excel/2006/main">
          <x14:cfRule type="expression" priority="326" id="{CD2782A7-5C9F-4545-A7CC-05448DB7F77D}">
            <xm:f>IF(Text!$AV$29=-2,TRUE,FALSE)</xm:f>
            <x14:dxf>
              <font>
                <b/>
                <i val="0"/>
                <color rgb="FFFF0000"/>
              </font>
              <border>
                <left style="thin">
                  <color rgb="FFFF0000"/>
                </left>
                <right style="thin">
                  <color rgb="FFFF0000"/>
                </right>
                <top style="thin">
                  <color rgb="FFFF0000"/>
                </top>
                <bottom style="thin">
                  <color rgb="FFFF0000"/>
                </bottom>
              </border>
            </x14:dxf>
          </x14:cfRule>
          <x14:cfRule type="expression" priority="327" id="{63D4A6BA-9709-4046-9DC0-2DDFDC93AD4C}">
            <xm:f>IF(Text!$AV$29=-1,TRUE,FALSE)</xm:f>
            <x14:dxf>
              <font>
                <color rgb="FFFF0000"/>
              </font>
            </x14:dxf>
          </x14:cfRule>
          <x14:cfRule type="expression" priority="328" id="{8341C694-A9B0-4960-8C7B-DDE34F81FF97}">
            <xm:f>IF(Text!$AV$29=1,TRUE,FALSE)</xm:f>
            <x14:dxf>
              <font>
                <color theme="9" tint="-0.24994659260841701"/>
              </font>
            </x14:dxf>
          </x14:cfRule>
          <x14:cfRule type="expression" priority="329" id="{1AA5B322-3508-423C-8AF8-E4B1E77BD4D6}">
            <xm:f>IF(Text!$AV$29=2,TRUE,FALSE)</xm:f>
            <x14:dxf>
              <font>
                <b/>
                <i val="0"/>
                <strike/>
                <color theme="9" tint="-0.24994659260841701"/>
              </font>
            </x14:dxf>
          </x14:cfRule>
          <xm:sqref>J10</xm:sqref>
        </x14:conditionalFormatting>
        <x14:conditionalFormatting xmlns:xm="http://schemas.microsoft.com/office/excel/2006/main">
          <x14:cfRule type="expression" priority="321" id="{DE5714E9-1FAA-4537-A6DA-3078908506D3}">
            <xm:f>IF(Text!$AV$28=-2,TRUE,FALSE)</xm:f>
            <x14:dxf>
              <font>
                <b/>
                <i val="0"/>
                <color rgb="FFFF0000"/>
              </font>
              <border>
                <left style="thin">
                  <color rgb="FFFF0000"/>
                </left>
                <right style="thin">
                  <color rgb="FFFF0000"/>
                </right>
                <top style="thin">
                  <color rgb="FFFF0000"/>
                </top>
                <bottom style="thin">
                  <color rgb="FFFF0000"/>
                </bottom>
              </border>
            </x14:dxf>
          </x14:cfRule>
          <x14:cfRule type="expression" priority="322" id="{E08397E5-D15F-4D93-A12C-13AD57825886}">
            <xm:f>IF(Text!$AV$28=-1,TRUE,FALSE)</xm:f>
            <x14:dxf>
              <font>
                <color rgb="FFFF0000"/>
              </font>
            </x14:dxf>
          </x14:cfRule>
          <x14:cfRule type="expression" priority="323" id="{0DBC31FC-7B59-401E-9F74-ECD9D50C582C}">
            <xm:f>IF(Text!$AV$28=1,TRUE,FALSE)</xm:f>
            <x14:dxf>
              <font>
                <color theme="9" tint="-0.24994659260841701"/>
              </font>
            </x14:dxf>
          </x14:cfRule>
          <x14:cfRule type="expression" priority="324" id="{F380BB8D-213C-4D29-96F6-A3B655ABC4D0}">
            <xm:f>IF(Text!$AV$28=2,TRUE,FALSE)</xm:f>
            <x14:dxf>
              <font>
                <b/>
                <i val="0"/>
                <strike/>
                <color theme="9" tint="-0.24994659260841701"/>
              </font>
            </x14:dxf>
          </x14:cfRule>
          <xm:sqref>G10</xm:sqref>
        </x14:conditionalFormatting>
        <x14:conditionalFormatting xmlns:xm="http://schemas.microsoft.com/office/excel/2006/main">
          <x14:cfRule type="expression" priority="316" id="{C5139DBD-4594-45FB-9142-52CB674F17C3}">
            <xm:f>IF(Text!$AV$30=-2,TRUE,FALSE)</xm:f>
            <x14:dxf>
              <font>
                <b/>
                <i val="0"/>
                <color rgb="FFFF0000"/>
              </font>
              <border>
                <left style="thin">
                  <color rgb="FFFF0000"/>
                </left>
                <right style="thin">
                  <color rgb="FFFF0000"/>
                </right>
                <top style="thin">
                  <color rgb="FFFF0000"/>
                </top>
                <bottom style="thin">
                  <color rgb="FFFF0000"/>
                </bottom>
              </border>
            </x14:dxf>
          </x14:cfRule>
          <x14:cfRule type="expression" priority="317" id="{A6D05582-9D12-4DE6-917E-4CBE14F62725}">
            <xm:f>IF(Text!$AV$30=-1,TRUE,FALSE)</xm:f>
            <x14:dxf>
              <font>
                <color rgb="FFFF0000"/>
              </font>
            </x14:dxf>
          </x14:cfRule>
          <x14:cfRule type="expression" priority="318" id="{E3841EFD-21DB-47EB-A418-E1F98DA5EEC5}">
            <xm:f>IF(Text!$AV$30=1,TRUE,FALSE)</xm:f>
            <x14:dxf>
              <font>
                <color theme="9" tint="-0.24994659260841701"/>
              </font>
            </x14:dxf>
          </x14:cfRule>
          <x14:cfRule type="expression" priority="319" id="{E9D59CDB-54BD-41F9-9629-2144AD5B3786}">
            <xm:f>IF(Text!$AV$30=2,TRUE,FALSE)</xm:f>
            <x14:dxf>
              <font>
                <b/>
                <i val="0"/>
                <strike/>
                <color theme="9" tint="-0.24994659260841701"/>
              </font>
            </x14:dxf>
          </x14:cfRule>
          <xm:sqref>G12</xm:sqref>
        </x14:conditionalFormatting>
        <x14:conditionalFormatting xmlns:xm="http://schemas.microsoft.com/office/excel/2006/main">
          <x14:cfRule type="expression" priority="311" id="{DC00BD06-708E-498D-9DA2-1734BA648389}">
            <xm:f>IF(Text!$AV$31=-2,TRUE,FALSE)</xm:f>
            <x14:dxf>
              <font>
                <b/>
                <i val="0"/>
                <color rgb="FFFF0000"/>
              </font>
              <border>
                <left style="thin">
                  <color rgb="FFFF0000"/>
                </left>
                <right style="thin">
                  <color rgb="FFFF0000"/>
                </right>
                <top style="thin">
                  <color rgb="FFFF0000"/>
                </top>
                <bottom style="thin">
                  <color rgb="FFFF0000"/>
                </bottom>
              </border>
            </x14:dxf>
          </x14:cfRule>
          <x14:cfRule type="expression" priority="312" id="{E2E13CE6-7A41-4006-80B0-F03F310160ED}">
            <xm:f>IF(Text!$AV$31=-1,TRUE,FALSE)</xm:f>
            <x14:dxf>
              <font>
                <color rgb="FFFF0000"/>
              </font>
            </x14:dxf>
          </x14:cfRule>
          <x14:cfRule type="expression" priority="313" id="{816E2F06-AEB6-479A-92B1-86FDF7952DF3}">
            <xm:f>IF(Text!$AV$31=1,TRUE,FALSE)</xm:f>
            <x14:dxf>
              <font>
                <color theme="9" tint="-0.24994659260841701"/>
              </font>
            </x14:dxf>
          </x14:cfRule>
          <x14:cfRule type="expression" priority="314" id="{E9D04E10-105A-4A57-9318-7A4C40585857}">
            <xm:f>IF(Text!$AV$31=2,TRUE,FALSE)</xm:f>
            <x14:dxf>
              <font>
                <b/>
                <i val="0"/>
                <strike/>
                <color theme="9" tint="-0.24994659260841701"/>
              </font>
            </x14:dxf>
          </x14:cfRule>
          <xm:sqref>P14</xm:sqref>
        </x14:conditionalFormatting>
        <x14:conditionalFormatting xmlns:xm="http://schemas.microsoft.com/office/excel/2006/main">
          <x14:cfRule type="expression" priority="306" id="{42B17445-EB2B-4557-B9CD-DD6F854F1DA5}">
            <xm:f>IF(Text!$AV$32=-2,TRUE,FALSE)</xm:f>
            <x14:dxf>
              <font>
                <b/>
                <i val="0"/>
                <color rgb="FFFF0000"/>
              </font>
              <border>
                <left style="thin">
                  <color rgb="FFFF0000"/>
                </left>
                <right style="thin">
                  <color rgb="FFFF0000"/>
                </right>
                <top style="thin">
                  <color rgb="FFFF0000"/>
                </top>
                <bottom style="thin">
                  <color rgb="FFFF0000"/>
                </bottom>
              </border>
            </x14:dxf>
          </x14:cfRule>
          <x14:cfRule type="expression" priority="307" id="{CD231783-A5EC-4E01-9604-011072BE822F}">
            <xm:f>IF(Text!$AV$32=-1,TRUE,FALSE)</xm:f>
            <x14:dxf>
              <font>
                <color rgb="FFFF0000"/>
              </font>
            </x14:dxf>
          </x14:cfRule>
          <x14:cfRule type="expression" priority="308" id="{F2DB4541-B27D-40AA-9597-C2755F8ECD5E}">
            <xm:f>IF(Text!$AV$32=1,TRUE,FALSE)</xm:f>
            <x14:dxf>
              <font>
                <color theme="9" tint="-0.24994659260841701"/>
              </font>
            </x14:dxf>
          </x14:cfRule>
          <x14:cfRule type="expression" priority="309" id="{A4B4CF59-458E-4F5C-8A35-1C6AC4C66821}">
            <xm:f>IF(Text!$AV$32=2,TRUE,FALSE)</xm:f>
            <x14:dxf>
              <font>
                <b/>
                <i val="0"/>
                <strike/>
                <color theme="9" tint="-0.24994659260841701"/>
              </font>
            </x14:dxf>
          </x14:cfRule>
          <xm:sqref>V14</xm:sqref>
        </x14:conditionalFormatting>
        <x14:conditionalFormatting xmlns:xm="http://schemas.microsoft.com/office/excel/2006/main">
          <x14:cfRule type="expression" priority="84" id="{0D37DE25-73BC-4216-9DFD-AB4B4AD75E4C}">
            <xm:f>IF(Text!$AV$42=-2,TRUE,FALSE)</xm:f>
            <x14:dxf>
              <font>
                <b/>
                <i val="0"/>
                <color rgb="FFFF0000"/>
              </font>
              <border>
                <left style="thin">
                  <color rgb="FFFF0000"/>
                </left>
                <right style="thin">
                  <color rgb="FFFF0000"/>
                </right>
                <top style="thin">
                  <color rgb="FFFF0000"/>
                </top>
                <bottom style="thin">
                  <color rgb="FFFF0000"/>
                </bottom>
              </border>
            </x14:dxf>
          </x14:cfRule>
          <x14:cfRule type="expression" priority="85" id="{5F34D32C-991F-4CEB-80D6-2AB0CF25E981}">
            <xm:f>IF(Text!$AV$42=-1,TRUE,FALSE)</xm:f>
            <x14:dxf>
              <font>
                <color rgb="FFFF0000"/>
              </font>
            </x14:dxf>
          </x14:cfRule>
          <x14:cfRule type="expression" priority="86" id="{E0DA5E34-244D-420E-896F-8A7CA4062719}">
            <xm:f>IF(Text!$AV$42=1,TRUE,FALSE)</xm:f>
            <x14:dxf>
              <font>
                <color theme="9" tint="-0.24994659260841701"/>
              </font>
            </x14:dxf>
          </x14:cfRule>
          <x14:cfRule type="expression" priority="87" id="{7363BEAF-C578-4B55-9882-576A131B0184}">
            <xm:f>IF(Text!$AV$42=2,TRUE,FALSE)</xm:f>
            <x14:dxf>
              <font>
                <b/>
                <i val="0"/>
                <strike/>
                <color theme="9" tint="-0.24994659260841701"/>
              </font>
            </x14:dxf>
          </x14:cfRule>
          <xm:sqref>G21</xm:sqref>
        </x14:conditionalFormatting>
        <x14:conditionalFormatting xmlns:xm="http://schemas.microsoft.com/office/excel/2006/main">
          <x14:cfRule type="expression" priority="62" id="{DECEACB9-456A-4E94-924D-504D3143F253}">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63" id="{BBF0A485-1A63-4739-858F-385087AE5A9C}">
            <xm:f>IF(Text!$AV$25=-1,TRUE,FALSE)</xm:f>
            <x14:dxf>
              <font>
                <color rgb="FFFF0000"/>
              </font>
            </x14:dxf>
          </x14:cfRule>
          <x14:cfRule type="expression" priority="64" id="{EED7FDB1-1EC8-4F02-82D0-C4853E75E1C7}">
            <xm:f>IF(Text!$AV$25=1,TRUE,FALSE)</xm:f>
            <x14:dxf>
              <font>
                <color theme="9" tint="-0.24994659260841701"/>
              </font>
            </x14:dxf>
          </x14:cfRule>
          <x14:cfRule type="expression" priority="65" id="{ACA9759C-FAB3-404F-9982-51A22C0BE8B8}">
            <xm:f>IF(Text!$AV$25=2,TRUE,FALSE)</xm:f>
            <x14:dxf>
              <font>
                <b/>
                <i val="0"/>
                <strike/>
                <color theme="9" tint="-0.24994659260841701"/>
              </font>
            </x14:dxf>
          </x14:cfRule>
          <xm:sqref>J8</xm:sqref>
        </x14:conditionalFormatting>
        <x14:conditionalFormatting xmlns:xm="http://schemas.microsoft.com/office/excel/2006/main">
          <x14:cfRule type="expression" priority="10007" id="{8293C1B6-CCCA-4E98-B19D-DBA472D566A9}">
            <xm:f>IF(Text!$AS$38=-2,TRUE,FALSE)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08" id="{CBB33926-16C0-47AB-8CDF-2A47F2F27AC4}">
            <xm:f>IF(Text!$AS$38=-1,TRUE,FALSE)</xm:f>
            <x14:dxf>
              <font>
                <color rgb="FFFF0000"/>
              </font>
            </x14:dxf>
          </x14:cfRule>
          <x14:cfRule type="expression" priority="10009" id="{E77DE7A1-87CD-4F44-8E59-B478FDE73449}">
            <xm:f>IF(Text!$AS$38=1,TRUE,FALSE)</xm:f>
            <x14:dxf>
              <font>
                <color theme="9" tint="-0.24994659260841701"/>
              </font>
            </x14:dxf>
          </x14:cfRule>
          <x14:cfRule type="expression" priority="10010" id="{BF493563-EE90-434E-9BF9-A79C925274B6}">
            <xm:f>IF(Text!$AS$38=2,TRUE,FALSE)</xm:f>
            <x14:dxf>
              <font>
                <b/>
                <i val="0"/>
                <strike/>
                <color theme="9" tint="-0.24994659260841701"/>
              </font>
            </x14:dxf>
          </x14:cfRule>
          <xm:sqref>G16</xm:sqref>
        </x14:conditionalFormatting>
        <x14:conditionalFormatting xmlns:xm="http://schemas.microsoft.com/office/excel/2006/main">
          <x14:cfRule type="expression" priority="10012" id="{A9674352-FF99-4E16-9194-0E9AFE398871}">
            <xm:f>IF(Text!$AS$46=-2,TRUE,FALSE)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13" id="{234E8FED-5D28-4E55-A30D-801BB6133B4B}">
            <xm:f>IF(Text!$AS$46=-1,TRUE,FALSE)</xm:f>
            <x14:dxf>
              <font>
                <color rgb="FFFF0000"/>
              </font>
            </x14:dxf>
          </x14:cfRule>
          <x14:cfRule type="expression" priority="10014" id="{8900D0F0-0F7E-4F4C-A736-502D58478292}">
            <xm:f>IF(Text!$AS$46=1,TRUE,FALSE)</xm:f>
            <x14:dxf>
              <font>
                <color theme="9" tint="-0.24994659260841701"/>
              </font>
            </x14:dxf>
          </x14:cfRule>
          <x14:cfRule type="expression" priority="10015" id="{3630E391-3B3C-4669-8C99-3EFEC6887359}">
            <xm:f>IF(Text!$AS$46=2,TRUE,FALSE)</xm:f>
            <x14:dxf>
              <font>
                <b/>
                <i val="0"/>
                <strike/>
                <color theme="9" tint="-0.24994659260841701"/>
              </font>
            </x14:dxf>
          </x14:cfRule>
          <xm:sqref>G23</xm:sqref>
        </x14:conditionalFormatting>
        <x14:conditionalFormatting xmlns:xm="http://schemas.microsoft.com/office/excel/2006/main">
          <x14:cfRule type="expression" priority="10016" id="{E1260FAB-061C-42D3-8C87-88FADC991470}">
            <xm:f>IF(Tool!$H$18="Pre-Check",TRUE,FALSE)</xm:f>
            <x14:dxf>
              <fill>
                <patternFill>
                  <bgColor rgb="FFF0F0F0"/>
                </patternFill>
              </fill>
            </x14:dxf>
          </x14:cfRule>
          <x14:cfRule type="expression" priority="10017" id="{4E511723-47C2-4344-9C9A-6FF077EB7E6C}">
            <xm:f>IF(Text!$AV$38=-2,TRUE,FALSE)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18" id="{2E1B255F-A332-47EB-8E5D-56822B4FAB4D}">
            <xm:f>IF(Text!$AV$38=-1,TRUE,FALSE)</xm:f>
            <x14:dxf>
              <font>
                <color rgb="FFFF0000"/>
              </font>
            </x14:dxf>
          </x14:cfRule>
          <x14:cfRule type="expression" priority="10019" id="{71EF7B14-1A6C-4CDE-BACF-8FB81F0DB62C}">
            <xm:f>IF(Text!$AV$38=1,TRUE,FALSE)</xm:f>
            <x14:dxf>
              <font>
                <color theme="9" tint="-0.24994659260841701"/>
              </font>
            </x14:dxf>
          </x14:cfRule>
          <x14:cfRule type="expression" priority="10020" id="{8C6D470F-80F8-42CF-9648-5F646E5DB551}">
            <xm:f>IF(Text!$AV$38=2,TRUE,FALSE)</xm:f>
            <x14:dxf>
              <font>
                <b/>
                <i val="0"/>
                <strike/>
                <color theme="9" tint="-0.24994659260841701"/>
              </font>
            </x14:dxf>
          </x14:cfRule>
          <xm:sqref>G17</xm:sqref>
        </x14:conditionalFormatting>
        <x14:conditionalFormatting xmlns:xm="http://schemas.microsoft.com/office/excel/2006/main">
          <x14:cfRule type="expression" priority="10021" id="{519A9682-57D4-4C88-9AB0-D2802D662399}">
            <xm:f>IF(Tool!$H$18="Pre-Check",TRUE,FALSE)</xm:f>
            <x14:dxf>
              <fill>
                <patternFill>
                  <bgColor rgb="FFF0F0F0"/>
                </patternFill>
              </fill>
            </x14:dxf>
          </x14:cfRule>
          <x14:cfRule type="expression" priority="10022" id="{FA52D524-044C-4920-AB78-9F2C0C5E783F}">
            <xm:f>IF(Text!$AV$46=-2,TRUE,FALSE)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23" id="{F08DDDD6-897B-4828-9BE1-38B9B0AA5552}">
            <xm:f>IF(Text!$AV$46=-1,TRUE,FALSE)</xm:f>
            <x14:dxf>
              <font>
                <color rgb="FFFF0000"/>
              </font>
            </x14:dxf>
          </x14:cfRule>
          <x14:cfRule type="expression" priority="10024" id="{25D5294A-1E4F-4DA5-939F-BF4C1AC1C9DA}">
            <xm:f>IF(Text!$AV$46=1,TRUE,FALSE)</xm:f>
            <x14:dxf>
              <font>
                <color theme="9" tint="-0.24994659260841701"/>
              </font>
            </x14:dxf>
          </x14:cfRule>
          <x14:cfRule type="expression" priority="10025" id="{DBFD2A3B-281D-4FCA-A488-5F29C963744B}">
            <xm:f>IF(Text!$AV$46=2,TRUE,FALSE)</xm:f>
            <x14:dxf>
              <font>
                <b/>
                <i val="0"/>
                <strike/>
                <color theme="9" tint="-0.24994659260841701"/>
              </font>
            </x14:dxf>
          </x14:cfRule>
          <xm:sqref>J24</xm:sqref>
        </x14:conditionalFormatting>
        <x14:conditionalFormatting xmlns:xm="http://schemas.microsoft.com/office/excel/2006/main">
          <x14:cfRule type="expression" priority="10026" id="{163D5A61-93D6-42B6-B6EC-5D2DCBE89B81}">
            <xm:f>IF(Tool!$H$18="Pre-Check",TRUE,FALSE)</xm:f>
            <x14:dxf>
              <fill>
                <patternFill>
                  <bgColor rgb="FFF0F0F0"/>
                </patternFill>
              </fill>
            </x14:dxf>
          </x14:cfRule>
          <x14:cfRule type="expression" priority="10027" id="{8B3EC41E-B1FD-4059-B024-028C31081930}">
            <xm:f>IF(Text!$AV$49=-2,TRUE,FALSE)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28" id="{0395A817-0A5C-45F3-8B8F-B065EF99C86F}">
            <xm:f>IF(Text!$AV$49=-1,TRUE,FALSE)</xm:f>
            <x14:dxf>
              <font>
                <color rgb="FFFF0000"/>
              </font>
            </x14:dxf>
          </x14:cfRule>
          <x14:cfRule type="expression" priority="10029" id="{FB9976B3-BE4B-47E5-8097-4B2313250015}">
            <xm:f>IF(Text!$AV$49=1,TRUE,FALSE)</xm:f>
            <x14:dxf>
              <font>
                <color theme="9" tint="-0.24994659260841701"/>
              </font>
            </x14:dxf>
          </x14:cfRule>
          <x14:cfRule type="expression" priority="10030" id="{93253A1C-8BAD-44E2-BDF6-91B901AF1C0D}">
            <xm:f>IF(Text!$AV$49=2,TRUE,FALSE)</xm:f>
            <x14:dxf>
              <font>
                <b/>
                <i val="0"/>
                <strike/>
                <color theme="9" tint="-0.24994659260841701"/>
              </font>
            </x14:dxf>
          </x14:cfRule>
          <xm:sqref>J30</xm:sqref>
        </x14:conditionalFormatting>
        <x14:conditionalFormatting xmlns:xm="http://schemas.microsoft.com/office/excel/2006/main">
          <x14:cfRule type="expression" priority="10032" id="{0AA1188E-C667-4D4C-9587-F390FB2307DB}">
            <xm:f>IF(Text!$AS$23=-2,TRUE,FALSE)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33" id="{3AB14379-1888-48ED-BC9B-5CE9A5F25866}">
            <xm:f>IF(Text!$AS$23=-1,TRUE,FALSE)</xm:f>
            <x14:dxf>
              <font>
                <color rgb="FFFF0000"/>
              </font>
            </x14:dxf>
          </x14:cfRule>
          <x14:cfRule type="expression" priority="10034" id="{51FA4F86-5D68-476E-968F-6158FCD86F29}">
            <xm:f>IF(Text!$AS$23=1,TRUE,FALSE)</xm:f>
            <x14:dxf>
              <font>
                <color theme="9" tint="-0.24994659260841701"/>
              </font>
            </x14:dxf>
          </x14:cfRule>
          <x14:cfRule type="expression" priority="10035" id="{9E42A553-2D6E-444C-9595-2617AED4F890}">
            <xm:f>IF(Text!$AS$23=2,TRUE,FALSE)</xm:f>
            <x14:dxf>
              <font>
                <b/>
                <i val="0"/>
                <strike/>
                <color theme="9" tint="-0.24994659260841701"/>
              </font>
            </x14:dxf>
          </x14:cfRule>
          <xm:sqref>G6</xm:sqref>
        </x14:conditionalFormatting>
        <x14:conditionalFormatting xmlns:xm="http://schemas.microsoft.com/office/excel/2006/main">
          <x14:cfRule type="expression" priority="10037" id="{9D45B9B4-42CE-43BF-BF12-28A8EDFFB574}">
            <xm:f>IF(Text!$AS$24=-2,TRUE,FALSE)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38" id="{61DE22FF-A52A-4D6D-B6DD-5C923CCDDDA9}">
            <xm:f>IF(Text!$AS$24=-1,TRUE,FALSE)</xm:f>
            <x14:dxf>
              <font>
                <color rgb="FFFF0000"/>
              </font>
            </x14:dxf>
          </x14:cfRule>
          <x14:cfRule type="expression" priority="10039" id="{6FDD517A-FA70-4551-B81F-397F24316FE5}">
            <xm:f>IF(Text!$AS$24=1,TRUE,FALSE)</xm:f>
            <x14:dxf>
              <font>
                <color theme="9" tint="-0.24994659260841701"/>
              </font>
            </x14:dxf>
          </x14:cfRule>
          <x14:cfRule type="expression" priority="10040" id="{25FD8770-D4DF-4317-A9EF-01930B0BDBA8}">
            <xm:f>IF(Text!$AS$24=2,TRUE,FALSE)</xm:f>
            <x14:dxf>
              <font>
                <b/>
                <i val="0"/>
                <strike/>
                <color theme="9" tint="-0.24994659260841701"/>
              </font>
            </x14:dxf>
          </x14:cfRule>
          <xm:sqref>J6</xm:sqref>
        </x14:conditionalFormatting>
        <x14:conditionalFormatting xmlns:xm="http://schemas.microsoft.com/office/excel/2006/main">
          <x14:cfRule type="expression" priority="10041" id="{36DE9E5F-1DA9-4BC8-AFA8-99560A243A6D}">
            <xm:f>IF(OR(Tool!$H$18="Klima-Check",Tool!$H$18="Check Climat",Tool!$H$18="Check Clima"),TRUE,FALSE)</xm:f>
            <x14:dxf>
              <font>
                <b val="0"/>
                <i val="0"/>
                <strike val="0"/>
                <color theme="0" tint="-0.499984740745262"/>
              </font>
              <fill>
                <patternFill>
                  <bgColor theme="0" tint="-4.9989318521683403E-2"/>
                </patternFill>
              </fill>
            </x14:dxf>
          </x14:cfRule>
          <x14:cfRule type="expression" priority="10042" id="{8E7D4CA4-39FE-4316-9978-E7CF4F779A70}">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43" id="{79F1B841-9FD5-487D-B6A1-D44162AAAF34}">
            <xm:f>IF(Text!$AS$25=-1,TRUE,FALSE)</xm:f>
            <x14:dxf>
              <font>
                <color rgb="FFFF0000"/>
              </font>
            </x14:dxf>
          </x14:cfRule>
          <x14:cfRule type="expression" priority="10044" id="{41632AC9-B75F-4F68-992A-50D83DC1AF89}">
            <xm:f>IF(Text!$AS$25=1,TRUE,FALSE)</xm:f>
            <x14:dxf>
              <font>
                <color theme="9" tint="-0.24994659260841701"/>
              </font>
            </x14:dxf>
          </x14:cfRule>
          <x14:cfRule type="expression" priority="10045" id="{749D2CEB-7DB3-4905-86E0-59338047B0DB}">
            <xm:f>IF(Text!$AS$25=2,TRUE,FALSE)</xm:f>
            <x14:dxf>
              <font>
                <b/>
                <i val="0"/>
                <strike/>
                <color theme="9" tint="-0.24994659260841701"/>
              </font>
            </x14:dxf>
          </x14:cfRule>
          <xm:sqref>M6</xm:sqref>
        </x14:conditionalFormatting>
        <x14:conditionalFormatting xmlns:xm="http://schemas.microsoft.com/office/excel/2006/main">
          <x14:cfRule type="expression" priority="10047" id="{3754C9C8-28E3-4732-ACF1-889C6CFF987D}">
            <xm:f>IF(Text!$AS$26=-2,TRUE,FALSE)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48" id="{F86EFC17-ECA2-4231-8555-6CE09746FFC0}">
            <xm:f>IF(Text!$AS$26=-1,TRUE,FALSE)</xm:f>
            <x14:dxf>
              <font>
                <color rgb="FFFF0000"/>
              </font>
            </x14:dxf>
          </x14:cfRule>
          <x14:cfRule type="expression" priority="10049" id="{9C09693B-A4B9-449D-8DE5-686F3EA6D604}">
            <xm:f>IF(Text!$AS$26=1,TRUE,FALSE)</xm:f>
            <x14:dxf>
              <font>
                <color theme="9" tint="-0.24994659260841701"/>
              </font>
            </x14:dxf>
          </x14:cfRule>
          <x14:cfRule type="expression" priority="10050" id="{C68D3CFC-F26D-44DE-B98E-6377AA1F335C}">
            <xm:f>IF(Text!$AS$26=2,TRUE,FALSE)</xm:f>
            <x14:dxf>
              <font>
                <b/>
                <i val="0"/>
                <strike/>
                <color theme="9" tint="-0.24994659260841701"/>
              </font>
            </x14:dxf>
          </x14:cfRule>
          <xm:sqref>G9</xm:sqref>
        </x14:conditionalFormatting>
        <x14:conditionalFormatting xmlns:xm="http://schemas.microsoft.com/office/excel/2006/main">
          <x14:cfRule type="expression" priority="10051" id="{1B4C7126-841C-422F-B0D9-6FD7AB2F8FDF}">
            <xm:f>IF(OR(Tool!$H$18="Klima-Check",Tool!$H$18="Check Climat",Tool!$H$18="Check Clima"),TRUE,FALSE)</xm:f>
            <x14:dxf>
              <font>
                <b val="0"/>
                <i val="0"/>
                <strike val="0"/>
                <color theme="0" tint="-0.499984740745262"/>
              </font>
              <fill>
                <patternFill>
                  <bgColor theme="0" tint="-4.9989318521683403E-2"/>
                </patternFill>
              </fill>
            </x14:dxf>
          </x14:cfRule>
          <x14:cfRule type="expression" priority="10052" id="{C21BFA47-E958-4C0F-9161-CC8659D5A4C3}">
            <xm:f>IF(Text!$AS$27=-2,TRUE,FALSE)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53" id="{EA7C0907-1CE7-4615-BA8B-520FFE18F9E7}">
            <xm:f>IF(Text!$AS$27=-1,TRUE,FALSE)</xm:f>
            <x14:dxf>
              <font>
                <color rgb="FFFF0000"/>
              </font>
            </x14:dxf>
          </x14:cfRule>
          <x14:cfRule type="expression" priority="10054" id="{2251AC61-BC42-4A26-A762-53B2168E1DBF}">
            <xm:f>IF(Text!$AS$27=1,TRUE,FALSE)</xm:f>
            <x14:dxf>
              <font>
                <color theme="9" tint="-0.24994659260841701"/>
              </font>
            </x14:dxf>
          </x14:cfRule>
          <x14:cfRule type="expression" priority="10055" id="{C33C78C4-9AF0-4BC4-8A11-903B60284A32}">
            <xm:f>IF(Text!$AS$27=2,TRUE,FALSE)</xm:f>
            <x14:dxf>
              <font>
                <b/>
                <i val="0"/>
                <strike/>
                <color theme="9" tint="-0.24994659260841701"/>
              </font>
            </x14:dxf>
          </x14:cfRule>
          <xm:sqref>J9</xm:sqref>
        </x14:conditionalFormatting>
        <x14:conditionalFormatting xmlns:xm="http://schemas.microsoft.com/office/excel/2006/main">
          <x14:cfRule type="expression" priority="10057" id="{C8AA630D-B4C8-416C-8791-6DAC0600F866}">
            <xm:f>IF(Text!$AS$28=-2,TRUE,FALSE)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58" id="{2B6D6313-B3E9-4D21-A1BF-26886933C111}">
            <xm:f>IF(Text!$AS$28=-1,TRUE,FALSE)</xm:f>
            <x14:dxf>
              <font>
                <color rgb="FFFF0000"/>
              </font>
            </x14:dxf>
          </x14:cfRule>
          <x14:cfRule type="expression" priority="10059" id="{CA1400DA-2E6B-4D75-8B0E-EF28CF0F07E2}">
            <xm:f>IF(Text!$AS$28=1,TRUE,FALSE)</xm:f>
            <x14:dxf>
              <font>
                <color theme="9" tint="-0.24994659260841701"/>
              </font>
            </x14:dxf>
          </x14:cfRule>
          <x14:cfRule type="expression" priority="10060" id="{E5C7D1C3-99D7-44C9-88E8-998ADF0C930A}">
            <xm:f>IF(Text!$AS$28=2,TRUE,FALSE)</xm:f>
            <x14:dxf>
              <font>
                <b/>
                <i val="0"/>
                <strike/>
                <color theme="9" tint="-0.24994659260841701"/>
              </font>
            </x14:dxf>
          </x14:cfRule>
          <xm:sqref>G11</xm:sqref>
        </x14:conditionalFormatting>
        <x14:conditionalFormatting xmlns:xm="http://schemas.microsoft.com/office/excel/2006/main">
          <x14:cfRule type="expression" priority="10061" id="{B187EFDC-4EFC-485E-9662-A89110C4528D}">
            <xm:f>IF(OR(Tool!$H$18="Klima-Check",Tool!$H$18="Check Climat",Tool!$H$18="Check Clima"),TRUE,FALSE)</xm:f>
            <x14:dxf>
              <font>
                <b val="0"/>
                <i val="0"/>
                <strike val="0"/>
                <color theme="0" tint="-0.499984740745262"/>
              </font>
              <fill>
                <patternFill>
                  <bgColor theme="0" tint="-4.9989318521683403E-2"/>
                </patternFill>
              </fill>
            </x14:dxf>
          </x14:cfRule>
          <x14:cfRule type="expression" priority="10062" id="{93F023CD-2BCA-45B7-8783-9B1138487548}">
            <xm:f>IF(Text!$AS$29=-2,TRUE,FALSE)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63" id="{F3DC5457-BCD0-4505-8962-F5C9B1C3686B}">
            <xm:f>IF(Text!$AS$29=-1,TRUE,FALSE)</xm:f>
            <x14:dxf>
              <font>
                <color rgb="FFFF0000"/>
              </font>
            </x14:dxf>
          </x14:cfRule>
          <x14:cfRule type="expression" priority="10064" id="{B06F7260-57AE-47C5-A8E6-08D3056B1570}">
            <xm:f>IF(Text!$AS$29=1,TRUE,FALSE)</xm:f>
            <x14:dxf>
              <font>
                <color theme="9" tint="-0.24994659260841701"/>
              </font>
            </x14:dxf>
          </x14:cfRule>
          <x14:cfRule type="expression" priority="10065" id="{E51B4A6D-DA0D-4910-8FC9-C501B7A98AFD}">
            <xm:f>IF(Text!$AS$29=2,TRUE,FALSE)</xm:f>
            <x14:dxf>
              <font>
                <b/>
                <i val="0"/>
                <strike/>
                <color theme="9" tint="-0.24994659260841701"/>
              </font>
            </x14:dxf>
          </x14:cfRule>
          <xm:sqref>J11</xm:sqref>
        </x14:conditionalFormatting>
        <x14:conditionalFormatting xmlns:xm="http://schemas.microsoft.com/office/excel/2006/main">
          <x14:cfRule type="expression" priority="10066" id="{771756B7-5CD9-4DE3-BC7A-11A5F43178AD}">
            <xm:f>IF(OR(Tool!$H$18="Klima-Check",Tool!$H$18="Check Climat",Tool!$H$18="Check Clima"),TRUE,FALSE)</xm:f>
            <x14:dxf>
              <font>
                <b val="0"/>
                <i val="0"/>
                <strike val="0"/>
                <color theme="0" tint="-0.499984740745262"/>
              </font>
              <fill>
                <patternFill>
                  <bgColor theme="0" tint="-4.9989318521683403E-2"/>
                </patternFill>
              </fill>
            </x14:dxf>
          </x14:cfRule>
          <x14:cfRule type="expression" priority="10067" id="{F49E464D-2E3C-4CF3-B7B6-EC88DEAC7182}">
            <xm:f>IF(Text!$AS$30=-2,TRUE,FALSE)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68" id="{F9AFA06B-7DE4-4469-B0CE-B153D40BD479}">
            <xm:f>IF(Text!$AS$30=-1,TRUE,FALSE)</xm:f>
            <x14:dxf>
              <font>
                <color rgb="FFFF0000"/>
              </font>
            </x14:dxf>
          </x14:cfRule>
          <x14:cfRule type="expression" priority="10069" id="{67E21102-29A9-4684-8002-FFEE020C3A1D}">
            <xm:f>IF(Text!$AS$30=1,TRUE,FALSE)</xm:f>
            <x14:dxf>
              <font>
                <color theme="9" tint="-0.24994659260841701"/>
              </font>
            </x14:dxf>
          </x14:cfRule>
          <x14:cfRule type="expression" priority="10070" id="{AE293B80-ECEC-4FB5-9AB5-EE88277FF9BC}">
            <xm:f>IF(Text!$AS$30=2,TRUE,FALSE)</xm:f>
            <x14:dxf>
              <font>
                <b/>
                <i val="0"/>
                <strike/>
                <color theme="9" tint="-0.24994659260841701"/>
              </font>
            </x14:dxf>
          </x14:cfRule>
          <xm:sqref>G13</xm:sqref>
        </x14:conditionalFormatting>
        <x14:conditionalFormatting xmlns:xm="http://schemas.microsoft.com/office/excel/2006/main">
          <x14:cfRule type="expression" priority="10071" id="{730A22BC-6D39-4B2C-A54C-E6B6946FE895}">
            <xm:f>IF(OR(Tool!$H$18="Klima-Check",Tool!$H$18="Check Climat",Tool!$H$18="Check Clima"),TRUE,FALSE)</xm:f>
            <x14:dxf>
              <font>
                <b val="0"/>
                <i val="0"/>
                <strike val="0"/>
                <color theme="0" tint="-0.499984740745262"/>
              </font>
              <fill>
                <patternFill>
                  <bgColor theme="0" tint="-4.9989318521683403E-2"/>
                </patternFill>
              </fill>
            </x14:dxf>
          </x14:cfRule>
          <x14:cfRule type="expression" priority="10072" id="{F0A496F7-2B11-4A69-8C2E-DE8780C5DDEE}">
            <xm:f>IF(Text!$AS$31=-2,TRUE,FALSE)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73" id="{D0725A8E-3578-4C53-A73D-11745915B3CF}">
            <xm:f>IF(Text!$AS$31=-1,TRUE,FALSE)</xm:f>
            <x14:dxf>
              <font>
                <color rgb="FFFF0000"/>
              </font>
            </x14:dxf>
          </x14:cfRule>
          <x14:cfRule type="expression" priority="10074" id="{AC8036FE-2919-4D15-B12E-3FBEC6E370C1}">
            <xm:f>IF(Text!$AS$31=1,TRUE,FALSE)</xm:f>
            <x14:dxf>
              <font>
                <color theme="9" tint="-0.24994659260841701"/>
              </font>
            </x14:dxf>
          </x14:cfRule>
          <x14:cfRule type="expression" priority="10075" id="{DC7F6A23-EAE2-478A-8AA6-70A9BA22B284}">
            <xm:f>IF(Text!$AS$31=2,TRUE,FALSE)</xm:f>
            <x14:dxf>
              <font>
                <b/>
                <i val="0"/>
                <strike/>
                <color theme="9" tint="-0.24994659260841701"/>
              </font>
            </x14:dxf>
          </x14:cfRule>
          <xm:sqref>J13</xm:sqref>
        </x14:conditionalFormatting>
        <x14:conditionalFormatting xmlns:xm="http://schemas.microsoft.com/office/excel/2006/main">
          <x14:cfRule type="expression" priority="10077" id="{1165C600-727D-41B1-9B74-8772FD666C7E}">
            <xm:f>IF(Text!$AS$32=-2,TRUE,FALSE)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78" id="{0A726956-9E71-4499-A557-A41436ADB03A}">
            <xm:f>IF(Text!$AS$32=-1,TRUE,FALSE)</xm:f>
            <x14:dxf>
              <font>
                <color rgb="FFFF0000"/>
              </font>
            </x14:dxf>
          </x14:cfRule>
          <x14:cfRule type="expression" priority="10079" id="{4A7C59C7-5D53-437D-B2D9-94009A7B988F}">
            <xm:f>IF(Text!$AS$32=1,TRUE,FALSE)</xm:f>
            <x14:dxf>
              <font>
                <color theme="9" tint="-0.24994659260841701"/>
              </font>
            </x14:dxf>
          </x14:cfRule>
          <x14:cfRule type="expression" priority="10080" id="{D9F671CE-C16B-488E-8BC5-4125062A3FD0}">
            <xm:f>IF(Text!$AS$32=2,TRUE,FALSE)</xm:f>
            <x14:dxf>
              <font>
                <b/>
                <i val="0"/>
                <strike/>
                <color theme="9" tint="-0.24994659260841701"/>
              </font>
            </x14:dxf>
          </x14:cfRule>
          <xm:sqref>M13</xm:sqref>
        </x14:conditionalFormatting>
        <x14:conditionalFormatting xmlns:xm="http://schemas.microsoft.com/office/excel/2006/main">
          <x14:cfRule type="expression" priority="10082" id="{DC8D6765-3BA6-4246-B4B9-27D7616089BA}">
            <xm:f>IF(Text!$AS$33=-2,TRUE,FALSE)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83" id="{D4046CA5-A635-49CA-BEFF-6104F2193117}">
            <xm:f>IF(Text!$AS$33=-1,TRUE,FALSE)</xm:f>
            <x14:dxf>
              <font>
                <color rgb="FFFF0000"/>
              </font>
            </x14:dxf>
          </x14:cfRule>
          <x14:cfRule type="expression" priority="10084" id="{46AFBDCB-E901-4ACA-9448-5B7BB0A46C95}">
            <xm:f>IF(Text!$AS$33=1,TRUE,FALSE)</xm:f>
            <x14:dxf>
              <font>
                <color theme="9" tint="-0.24994659260841701"/>
              </font>
            </x14:dxf>
          </x14:cfRule>
          <x14:cfRule type="expression" priority="10085" id="{A282240B-1E0F-48BF-913C-0D1F0321141B}">
            <xm:f>IF(Text!$AS$33=2,TRUE,FALSE)</xm:f>
            <x14:dxf>
              <font>
                <b/>
                <i val="0"/>
                <strike/>
                <color theme="9" tint="-0.24994659260841701"/>
              </font>
            </x14:dxf>
          </x14:cfRule>
          <xm:sqref>P13</xm:sqref>
        </x14:conditionalFormatting>
        <x14:conditionalFormatting xmlns:xm="http://schemas.microsoft.com/office/excel/2006/main">
          <x14:cfRule type="expression" priority="10086" id="{1C262871-9E3C-4034-B6C4-A15E7CCE14C4}">
            <xm:f>IF(OR(Tool!$H$18="Klima-Check",Tool!$H$18="Check Climat",Tool!$H$18="Check Clima"),TRUE,FALSE)</xm:f>
            <x14:dxf>
              <font>
                <b val="0"/>
                <i val="0"/>
                <strike val="0"/>
                <color theme="0" tint="-0.499984740745262"/>
              </font>
              <fill>
                <patternFill>
                  <bgColor theme="0" tint="-4.9989318521683403E-2"/>
                </patternFill>
              </fill>
            </x14:dxf>
          </x14:cfRule>
          <x14:cfRule type="expression" priority="10087" id="{A69C1FFD-F916-4785-B001-A9F4D5B9FD84}">
            <xm:f>IF(Text!$AS$34=-2,TRUE,FALSE)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88" id="{3DABA741-71AF-42FF-AB89-2F699070E9EA}">
            <xm:f>IF(Text!$AS$34=-1,TRUE,FALSE)</xm:f>
            <x14:dxf>
              <font>
                <color rgb="FFFF0000"/>
              </font>
            </x14:dxf>
          </x14:cfRule>
          <x14:cfRule type="expression" priority="10089" id="{640528CE-4623-4620-B250-946AA2188B8E}">
            <xm:f>IF(Text!$AS$34=1,TRUE,FALSE)</xm:f>
            <x14:dxf>
              <font>
                <color theme="9" tint="-0.24994659260841701"/>
              </font>
            </x14:dxf>
          </x14:cfRule>
          <x14:cfRule type="expression" priority="10090" id="{DDD894B4-4CF2-4A27-9D3C-9E1590790DE3}">
            <xm:f>IF(Text!$AS$34=2,TRUE,FALSE)</xm:f>
            <x14:dxf>
              <font>
                <b/>
                <i val="0"/>
                <strike/>
                <color theme="9" tint="-0.24994659260841701"/>
              </font>
            </x14:dxf>
          </x14:cfRule>
          <xm:sqref>S13</xm:sqref>
        </x14:conditionalFormatting>
        <x14:conditionalFormatting xmlns:xm="http://schemas.microsoft.com/office/excel/2006/main">
          <x14:cfRule type="expression" priority="10091" id="{2C85D32C-0EF7-4925-9CCF-6A7C69E014AA}">
            <xm:f>IF(OR(Tool!$H$18="Klima-Check",Tool!$H$18="Check Climat",Tool!$H$18="Check Clima"),TRUE,FALSE)</xm:f>
            <x14:dxf>
              <font>
                <b val="0"/>
                <i val="0"/>
                <strike val="0"/>
                <color theme="0" tint="-0.499984740745262"/>
              </font>
              <fill>
                <patternFill>
                  <bgColor theme="0" tint="-4.9989318521683403E-2"/>
                </patternFill>
              </fill>
            </x14:dxf>
          </x14:cfRule>
          <x14:cfRule type="expression" priority="10092" id="{4D079FE4-A494-4BC0-8110-6865B9B03E75}">
            <xm:f>IF(Text!$AS$35=-2,TRUE,FALSE)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93" id="{F1E5FD4D-9262-4C96-A2E7-123A6E2EE48E}">
            <xm:f>IF(Text!$AS$35=-1,TRUE,FALSE)</xm:f>
            <x14:dxf>
              <font>
                <color rgb="FFFF0000"/>
              </font>
            </x14:dxf>
          </x14:cfRule>
          <x14:cfRule type="expression" priority="10094" id="{A2853C85-CCFF-4384-A636-74828EE7BED4}">
            <xm:f>IF(Text!$AS$35=1,TRUE,FALSE)</xm:f>
            <x14:dxf>
              <font>
                <color theme="9" tint="-0.24994659260841701"/>
              </font>
            </x14:dxf>
          </x14:cfRule>
          <x14:cfRule type="expression" priority="10095" id="{C80ED652-BE56-4326-8634-A59518BE2EC0}">
            <xm:f>IF(Text!$AS$35=2,TRUE,FALSE)</xm:f>
            <x14:dxf>
              <font>
                <b/>
                <i val="0"/>
                <strike/>
                <color theme="9" tint="-0.24994659260841701"/>
              </font>
            </x14:dxf>
          </x14:cfRule>
          <xm:sqref>V13</xm:sqref>
        </x14:conditionalFormatting>
        <x14:conditionalFormatting xmlns:xm="http://schemas.microsoft.com/office/excel/2006/main">
          <x14:cfRule type="expression" priority="10096" id="{A73AFDCA-BBE8-46C6-863F-3B9B7F1D805B}">
            <xm:f>IF(OR(Tool!$H$18="Klima-Check",Tool!$H$18="Check Climat",Tool!$H$18="Check Clima"),TRUE,FALSE)</xm:f>
            <x14:dxf>
              <font>
                <color theme="0" tint="-0.499984740745262"/>
              </font>
              <fill>
                <patternFill>
                  <bgColor theme="0" tint="-4.9989318521683403E-2"/>
                </patternFill>
              </fill>
            </x14:dxf>
          </x14:cfRule>
          <x14:cfRule type="expression" priority="10097" id="{A8F04400-2819-4A88-8766-5E9B7629F462}">
            <xm:f>IF(Text!$AS$36=-2,TRUE,FALSE)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098" id="{6F5AEC97-E873-4990-BE64-406C58098C63}">
            <xm:f>IF(Text!$AS$36=-1,TRUE,FALSE)</xm:f>
            <x14:dxf>
              <font>
                <color rgb="FFFF0000"/>
              </font>
            </x14:dxf>
          </x14:cfRule>
          <x14:cfRule type="expression" priority="10099" id="{A563ACB0-2AC2-4B78-8629-95407B8CAD8D}">
            <xm:f>IF(Text!$AS$36=1,TRUE,FALSE)</xm:f>
            <x14:dxf>
              <font>
                <color theme="9" tint="-0.24994659260841701"/>
              </font>
            </x14:dxf>
          </x14:cfRule>
          <x14:cfRule type="expression" priority="10100" id="{655A3033-DCA9-4709-A998-6B43FA30D39E}">
            <xm:f>IF(Text!$AS$36=2,TRUE,FALSE)</xm:f>
            <x14:dxf>
              <font>
                <b/>
                <i val="0"/>
                <strike/>
                <color theme="9" tint="-0.24994659260841701"/>
              </font>
            </x14:dxf>
          </x14:cfRule>
          <xm:sqref>Y13</xm:sqref>
        </x14:conditionalFormatting>
        <x14:conditionalFormatting xmlns:xm="http://schemas.microsoft.com/office/excel/2006/main">
          <x14:cfRule type="expression" priority="10101" id="{1A526E3B-38A0-4EE3-98DB-1C99F38AEBA7}">
            <xm:f>IF(Tool!$H$18="Pre-Check",TRUE,FALSE)</xm:f>
            <x14:dxf>
              <fill>
                <patternFill>
                  <bgColor rgb="FFF0F0F0"/>
                </patternFill>
              </fill>
            </x14:dxf>
          </x14:cfRule>
          <xm:sqref>G7 M7:M8 J10 G10 G12 P14 V14 J7:J8</xm:sqref>
        </x14:conditionalFormatting>
        <x14:conditionalFormatting xmlns:xm="http://schemas.microsoft.com/office/excel/2006/main">
          <x14:cfRule type="expression" priority="10110" id="{2D1A6296-CD9D-48F1-BF30-376F74BB3E96}">
            <xm:f>IF(OR(Tool!$H$18="Klima-Check",Tool!$H$18="Check Climat",Tool!$H$18="Check Clima"),TRUE,FALSE)</xm:f>
            <x14:dxf>
              <font>
                <b val="0"/>
                <i val="0"/>
                <strike val="0"/>
                <color theme="0" tint="-0.499984740745262"/>
              </font>
              <fill>
                <patternFill>
                  <bgColor theme="0" tint="-4.9989318521683403E-2"/>
                </patternFill>
              </fill>
            </x14:dxf>
          </x14:cfRule>
          <x14:cfRule type="expression" priority="10111" id="{140CE751-C57F-4A32-836A-419388A827AB}">
            <xm:f>IF(Text!$AS$39=-2,TRUE,FALSE)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12" id="{EE245DE5-DD70-4684-832F-BC34C936CD7F}">
            <xm:f>IF(Text!$AS$39=-1,TRUE,FALSE)</xm:f>
            <x14:dxf>
              <font>
                <color rgb="FFFF0000"/>
              </font>
            </x14:dxf>
          </x14:cfRule>
          <x14:cfRule type="expression" priority="10113" id="{7F66F97B-961B-4346-8014-91822B743ADA}">
            <xm:f>IF(Text!$AS$39=1,TRUE,FALSE)</xm:f>
            <x14:dxf>
              <font>
                <color theme="9" tint="-0.24994659260841701"/>
              </font>
            </x14:dxf>
          </x14:cfRule>
          <x14:cfRule type="expression" priority="10114" id="{BE241D34-B0F5-49EB-9716-F1B56F6C89B2}">
            <xm:f>IF(Text!$AS$39=2,TRUE,FALSE)</xm:f>
            <x14:dxf>
              <font>
                <b/>
                <i val="0"/>
                <strike/>
                <color theme="9" tint="-0.24994659260841701"/>
              </font>
            </x14:dxf>
          </x14:cfRule>
          <xm:sqref>J16</xm:sqref>
        </x14:conditionalFormatting>
        <x14:conditionalFormatting xmlns:xm="http://schemas.microsoft.com/office/excel/2006/main">
          <x14:cfRule type="expression" priority="10116" id="{5A3046B8-01D4-4C53-BD53-182FF03A2B10}">
            <xm:f>IF(Text!$AS$40=-2,TRUE,FALSE)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17" id="{36D94894-CFCD-4B8B-9A3E-D4ADCBD16EEE}">
            <xm:f>IF(Text!$AS$40=-1,TRUE,FALSE)</xm:f>
            <x14:dxf>
              <font>
                <color rgb="FFFF0000"/>
              </font>
            </x14:dxf>
          </x14:cfRule>
          <x14:cfRule type="expression" priority="10118" id="{D6E122A2-F91E-4984-ACD9-5D3C1DDD0254}">
            <xm:f>IF(Text!$AS$40=1,TRUE,FALSE)</xm:f>
            <x14:dxf>
              <font>
                <color theme="9" tint="-0.24994659260841701"/>
              </font>
            </x14:dxf>
          </x14:cfRule>
          <x14:cfRule type="expression" priority="10119" id="{F5288399-BB15-4CBB-A074-2E871D948FBB}">
            <xm:f>IF(Text!$AS$40=2,TRUE,FALSE)</xm:f>
            <x14:dxf>
              <font>
                <b/>
                <i val="0"/>
                <strike/>
                <color theme="9" tint="-0.24994659260841701"/>
              </font>
            </x14:dxf>
          </x14:cfRule>
          <xm:sqref>M16</xm:sqref>
        </x14:conditionalFormatting>
        <x14:conditionalFormatting xmlns:xm="http://schemas.microsoft.com/office/excel/2006/main">
          <x14:cfRule type="expression" priority="10121" id="{DF448DEE-E053-477E-8B4A-E973C9DFC436}">
            <xm:f>IF(Text!$AS$41=-2,TRUE,FALSE)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22" id="{83DE49B6-BAD6-4E50-AD7F-6781ECC7A262}">
            <xm:f>IF(Text!$AS$41=-1,TRUE,FALSE)</xm:f>
            <x14:dxf>
              <font>
                <color rgb="FFFF0000"/>
              </font>
            </x14:dxf>
          </x14:cfRule>
          <x14:cfRule type="expression" priority="10123" id="{52471943-83CB-4EE1-80A2-6856416DD75F}">
            <xm:f>IF(Text!$AS$41=1,TRUE,FALSE)</xm:f>
            <x14:dxf>
              <font>
                <color theme="9" tint="-0.24994659260841701"/>
              </font>
            </x14:dxf>
          </x14:cfRule>
          <x14:cfRule type="expression" priority="10124" id="{12FC2140-0149-4EEA-96DE-7A2355444256}">
            <xm:f>IF(Text!$AS$41=2,TRUE,FALSE)</xm:f>
            <x14:dxf>
              <font>
                <b/>
                <i val="0"/>
                <strike/>
                <color theme="9" tint="-0.24994659260841701"/>
              </font>
            </x14:dxf>
          </x14:cfRule>
          <xm:sqref>G18</xm:sqref>
        </x14:conditionalFormatting>
        <x14:conditionalFormatting xmlns:xm="http://schemas.microsoft.com/office/excel/2006/main">
          <x14:cfRule type="expression" priority="10125" id="{217C381D-22F5-4B58-A2F8-836FFE11028B}">
            <xm:f>IF(OR(Tool!$H$18="Klima-Check",Tool!$H$18="Check Climat",Tool!$H$18="Check Clima"),TRUE,FALSE)</xm:f>
            <x14:dxf>
              <font>
                <b val="0"/>
                <i val="0"/>
                <strike val="0"/>
                <color theme="0" tint="-0.499984740745262"/>
              </font>
              <fill>
                <patternFill>
                  <bgColor theme="0" tint="-4.9989318521683403E-2"/>
                </patternFill>
              </fill>
            </x14:dxf>
          </x14:cfRule>
          <x14:cfRule type="expression" priority="10126" id="{F9D90DB5-9677-4B15-94BF-56C4D9573142}">
            <xm:f>IF(Text!$AS$42=-2,TRUE,FALSE)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27" id="{E473E615-1A64-4B58-9F13-997EA9D1AE18}">
            <xm:f>IF(Text!$AS$42=-1,TRUE,FALSE)</xm:f>
            <x14:dxf>
              <font>
                <color rgb="FFFF0000"/>
              </font>
            </x14:dxf>
          </x14:cfRule>
          <x14:cfRule type="expression" priority="10128" id="{EAE0FA3D-F92D-4652-B1FC-8A6A08C1B74F}">
            <xm:f>IF(Text!$AS$42=1,TRUE,FALSE)</xm:f>
            <x14:dxf>
              <font>
                <color theme="9" tint="-0.24994659260841701"/>
              </font>
            </x14:dxf>
          </x14:cfRule>
          <x14:cfRule type="expression" priority="10129" id="{CD1B9AE2-95BD-42F6-869A-375CF7D61066}">
            <xm:f>IF(Text!$AS$42=2,TRUE,FALSE)</xm:f>
            <x14:dxf>
              <font>
                <b/>
                <i val="0"/>
                <strike/>
                <color theme="9" tint="-0.24994659260841701"/>
              </font>
            </x14:dxf>
          </x14:cfRule>
          <xm:sqref>J18</xm:sqref>
        </x14:conditionalFormatting>
        <x14:conditionalFormatting xmlns:xm="http://schemas.microsoft.com/office/excel/2006/main">
          <x14:cfRule type="expression" priority="10131" id="{127B31BC-F428-47DE-8A6B-12F340F77606}">
            <xm:f>IF(Text!$AS$43=-2,TRUE,FALSE)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32" id="{CD6DEB3A-0267-4B38-806C-6319775D2FAD}">
            <xm:f>IF(Text!$AS$43=-1,TRUE,FALSE)</xm:f>
            <x14:dxf>
              <font>
                <color rgb="FFFF0000"/>
              </font>
            </x14:dxf>
          </x14:cfRule>
          <x14:cfRule type="expression" priority="10133" id="{272AE686-CFE8-426C-8216-0C8BD686C757}">
            <xm:f>IF(Text!$AS$43=1,TRUE,FALSE)</xm:f>
            <x14:dxf>
              <font>
                <color theme="9" tint="-0.24994659260841701"/>
              </font>
            </x14:dxf>
          </x14:cfRule>
          <x14:cfRule type="expression" priority="10134" id="{4793B796-02EF-44A6-88F0-2CEA908DC00E}">
            <xm:f>IF(Text!$AS$43=2,TRUE,FALSE)</xm:f>
            <x14:dxf>
              <font>
                <b/>
                <i val="0"/>
                <strike/>
                <color theme="9" tint="-0.24994659260841701"/>
              </font>
            </x14:dxf>
          </x14:cfRule>
          <xm:sqref>M18</xm:sqref>
        </x14:conditionalFormatting>
        <x14:conditionalFormatting xmlns:xm="http://schemas.microsoft.com/office/excel/2006/main">
          <x14:cfRule type="expression" priority="10135" id="{6423F49D-0740-4520-9AD5-CC7DE5DB82C8}">
            <xm:f>IF(OR(Tool!$H$18="Klima-Check",Tool!$H$18="Check Climat",Tool!$H$18="Check Clima"),TRUE,FALSE)</xm:f>
            <x14:dxf>
              <font>
                <b val="0"/>
                <i val="0"/>
                <strike val="0"/>
                <color theme="0" tint="-0.499984740745262"/>
              </font>
              <fill>
                <patternFill>
                  <bgColor theme="0" tint="-4.9989318521683403E-2"/>
                </patternFill>
              </fill>
            </x14:dxf>
          </x14:cfRule>
          <x14:cfRule type="expression" priority="10136" id="{371CCB71-F03D-46F4-819E-6AB9B3FCAD57}">
            <xm:f>IF(Text!$AS$44=-2,TRUE,FALSE)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37" id="{1DFDC814-AAC9-4E1E-A410-4FE6DB7DE7F8}">
            <xm:f>IF(Text!$AS$44=-1,TRUE,FALSE)</xm:f>
            <x14:dxf>
              <font>
                <color rgb="FFFF0000"/>
              </font>
            </x14:dxf>
          </x14:cfRule>
          <x14:cfRule type="expression" priority="10138" id="{9DB7F277-C1D9-477F-9C27-2F8BB521C8E1}">
            <xm:f>IF(Text!$AS$44=1,TRUE,FALSE)</xm:f>
            <x14:dxf>
              <font>
                <color theme="9" tint="-0.24994659260841701"/>
              </font>
            </x14:dxf>
          </x14:cfRule>
          <x14:cfRule type="expression" priority="10139" id="{D799E676-8990-42E7-9D82-631F7E5D4C30}">
            <xm:f>IF(Text!$AS$44=2,TRUE,FALSE)</xm:f>
            <x14:dxf>
              <font>
                <b/>
                <i val="0"/>
                <strike/>
                <color theme="9" tint="-0.24994659260841701"/>
              </font>
            </x14:dxf>
          </x14:cfRule>
          <xm:sqref>G20</xm:sqref>
        </x14:conditionalFormatting>
        <x14:conditionalFormatting xmlns:xm="http://schemas.microsoft.com/office/excel/2006/main">
          <x14:cfRule type="expression" priority="10140" id="{890B1D5D-901C-415D-B285-7802703477C0}">
            <xm:f>IF(Tool!$H$18="Pre-Check",TRUE,FALSE)</xm:f>
            <x14:dxf>
              <fill>
                <patternFill>
                  <bgColor rgb="FFF0F0F0"/>
                </patternFill>
              </fill>
            </x14:dxf>
          </x14:cfRule>
          <x14:cfRule type="expression" priority="10141" id="{00D8DF03-87A7-4F86-9300-35E21EA4EDAF}">
            <xm:f>IF(Text!$AV$39=-2,TRUE,FALSE)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42" id="{7EAA5E55-D249-4BDD-BD36-23951B830022}">
            <xm:f>IF(Text!$AV$39=-1,TRUE,FALSE)</xm:f>
            <x14:dxf>
              <font>
                <color rgb="FFFF0000"/>
              </font>
            </x14:dxf>
          </x14:cfRule>
          <x14:cfRule type="expression" priority="10143" id="{F1CD1175-CE87-4640-9C35-5341D5675589}">
            <xm:f>IF(Text!$AV$39=1,TRUE,FALSE)</xm:f>
            <x14:dxf>
              <font>
                <color theme="9" tint="-0.24994659260841701"/>
              </font>
            </x14:dxf>
          </x14:cfRule>
          <x14:cfRule type="expression" priority="10144" id="{23CC2312-96A9-4F07-AB41-2218A3135563}">
            <xm:f>IF(Text!$AV$39=2,TRUE,FALSE)</xm:f>
            <x14:dxf>
              <font>
                <b/>
                <i val="0"/>
                <strike/>
                <color theme="9" tint="-0.24994659260841701"/>
              </font>
            </x14:dxf>
          </x14:cfRule>
          <xm:sqref>G19</xm:sqref>
        </x14:conditionalFormatting>
        <x14:conditionalFormatting xmlns:xm="http://schemas.microsoft.com/office/excel/2006/main">
          <x14:cfRule type="expression" priority="10145" id="{C0239B1D-49BD-4D91-B70A-0455299F721C}">
            <xm:f>IF(Tool!$H$18="Pre-Check",TRUE,FALSE)</xm:f>
            <x14:dxf>
              <fill>
                <patternFill>
                  <bgColor rgb="FFF0F0F0"/>
                </patternFill>
              </fill>
            </x14:dxf>
          </x14:cfRule>
          <x14:cfRule type="expression" priority="10146" id="{6A0263B3-2773-4FA7-9BBB-73DB57BB7CC8}">
            <xm:f>IF(Text!$AV$40=-2,TRUE,FALSE)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47" id="{31782815-01DA-4C07-AC10-FE935A0E9E2C}">
            <xm:f>IF(Text!$AV$40=-1,TRUE,FALSE)</xm:f>
            <x14:dxf>
              <font>
                <color rgb="FFFF0000"/>
              </font>
            </x14:dxf>
          </x14:cfRule>
          <x14:cfRule type="expression" priority="10148" id="{A58966CC-A287-42DE-95B8-212B3B035547}">
            <xm:f>IF(Text!$AV$40=1,TRUE,FALSE)</xm:f>
            <x14:dxf>
              <font>
                <color theme="9" tint="-0.24994659260841701"/>
              </font>
            </x14:dxf>
          </x14:cfRule>
          <x14:cfRule type="expression" priority="10149" id="{74CA443A-1B8A-493D-9B7A-987734F7A2DD}">
            <xm:f>IF(Text!$AV$40=2,TRUE,FALSE)</xm:f>
            <x14:dxf>
              <font>
                <b/>
                <i val="0"/>
                <strike/>
                <color theme="9" tint="-0.24994659260841701"/>
              </font>
            </x14:dxf>
          </x14:cfRule>
          <xm:sqref>M19</xm:sqref>
        </x14:conditionalFormatting>
        <x14:conditionalFormatting xmlns:xm="http://schemas.microsoft.com/office/excel/2006/main">
          <x14:cfRule type="expression" priority="10151" id="{A24045F9-98E9-4733-A0E2-8A4952ABB89B}">
            <xm:f>IF(Text!$AS$47=-2,TRUE,FALSE)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52" id="{4812E048-58D6-445A-9129-12E42E515D49}">
            <xm:f>IF(Text!$AS$47=-1,TRUE,FALSE)</xm:f>
            <x14:dxf>
              <font>
                <color rgb="FFFF0000"/>
              </font>
            </x14:dxf>
          </x14:cfRule>
          <x14:cfRule type="expression" priority="10153" id="{2AB936B0-1874-4D00-B294-8ECAE527F0CC}">
            <xm:f>IF(Text!$AS$47=1,TRUE,FALSE)</xm:f>
            <x14:dxf>
              <font>
                <color theme="9" tint="-0.24994659260841701"/>
              </font>
            </x14:dxf>
          </x14:cfRule>
          <x14:cfRule type="expression" priority="10154" id="{94B1980B-E362-44F1-83D2-07BABCA30A36}">
            <xm:f>IF(Text!$AS$47=2,TRUE,FALSE)</xm:f>
            <x14:dxf>
              <font>
                <b/>
                <i val="0"/>
                <strike/>
                <color theme="9" tint="-0.24994659260841701"/>
              </font>
            </x14:dxf>
          </x14:cfRule>
          <xm:sqref>J23</xm:sqref>
        </x14:conditionalFormatting>
        <x14:conditionalFormatting xmlns:xm="http://schemas.microsoft.com/office/excel/2006/main">
          <x14:cfRule type="expression" priority="10156" id="{29868286-5F91-4587-94FA-D129EFE4D1E3}">
            <xm:f>IF(Text!$AS$48=-2,TRUE,FALSE)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57" id="{8F0E2F62-FF4E-4C83-B1E1-54E866D614CF}">
            <xm:f>IF(Text!$AS$48=-1,TRUE,FALSE)</xm:f>
            <x14:dxf>
              <font>
                <color rgb="FFFF0000"/>
              </font>
            </x14:dxf>
          </x14:cfRule>
          <x14:cfRule type="expression" priority="10158" id="{AC6FD5FF-F532-4910-A9CA-07CD755291AF}">
            <xm:f>IF(Text!$AS$48=1,TRUE,FALSE)</xm:f>
            <x14:dxf>
              <font>
                <color theme="9" tint="-0.24994659260841701"/>
              </font>
            </x14:dxf>
          </x14:cfRule>
          <x14:cfRule type="expression" priority="10159" id="{0FE57210-F682-44AE-BB9E-0817768D0076}">
            <xm:f>IF(Text!$AS$48=2,TRUE,FALSE)</xm:f>
            <x14:dxf>
              <font>
                <b/>
                <i val="0"/>
                <strike/>
                <color theme="9" tint="-0.24994659260841701"/>
              </font>
            </x14:dxf>
          </x14:cfRule>
          <xm:sqref>M23</xm:sqref>
        </x14:conditionalFormatting>
        <x14:conditionalFormatting xmlns:xm="http://schemas.microsoft.com/office/excel/2006/main">
          <x14:cfRule type="expression" priority="10160" id="{7C8809C7-70E9-43A4-A50F-9BBC88EE24B1}">
            <xm:f>IF(OR(Tool!$H$18="Klima-Check",Tool!$H$18="Check Climat",Tool!$H$18="Check Clima"),TRUE,FALSE)</xm:f>
            <x14:dxf>
              <font>
                <b val="0"/>
                <i val="0"/>
                <strike val="0"/>
                <color theme="0" tint="-0.499984740745262"/>
              </font>
              <fill>
                <patternFill>
                  <bgColor rgb="FFF2F2F2"/>
                </patternFill>
              </fill>
            </x14:dxf>
          </x14:cfRule>
          <x14:cfRule type="expression" priority="10161" id="{00EABDB8-F94A-447C-A3B6-43FC430E01CA}">
            <xm:f>IF(Text!$AS$49=-2,TRUE,FALSE)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62" id="{4AAFC52C-A493-4CCC-8FF4-8FE483B8A0A8}">
            <xm:f>IF(Text!$AS$49=-1,TRUE,FALSE)</xm:f>
            <x14:dxf>
              <font>
                <color rgb="FFFF0000"/>
              </font>
            </x14:dxf>
          </x14:cfRule>
          <x14:cfRule type="expression" priority="10163" id="{B86416EB-2B42-4B0C-BB06-3D5A81905AFC}">
            <xm:f>IF(Text!$AS$49=1,TRUE,FALSE)</xm:f>
            <x14:dxf>
              <font>
                <color theme="9" tint="-0.24994659260841701"/>
              </font>
            </x14:dxf>
          </x14:cfRule>
          <x14:cfRule type="expression" priority="10164" id="{44F866F0-E921-4441-BB1C-3BA343F76323}">
            <xm:f>IF(Text!$AS$49=2,TRUE,FALSE)</xm:f>
            <x14:dxf>
              <font>
                <b/>
                <i val="0"/>
                <strike/>
                <color theme="9" tint="-0.24994659260841701"/>
              </font>
            </x14:dxf>
          </x14:cfRule>
          <xm:sqref>G25</xm:sqref>
        </x14:conditionalFormatting>
        <x14:conditionalFormatting xmlns:xm="http://schemas.microsoft.com/office/excel/2006/main">
          <x14:cfRule type="expression" priority="10165" id="{61D78DE2-9EBF-4405-A4DF-F1AFA20E2814}">
            <xm:f>IF(OR(Tool!$H$18="Klima-Check",Tool!$H$18="Check Climat",Tool!$H$18="Check Clima"),TRUE,FALSE)</xm:f>
            <x14:dxf>
              <font>
                <b val="0"/>
                <i val="0"/>
                <strike val="0"/>
                <color theme="0" tint="-0.499984740745262"/>
              </font>
              <fill>
                <patternFill>
                  <bgColor theme="0" tint="-4.9989318521683403E-2"/>
                </patternFill>
              </fill>
            </x14:dxf>
          </x14:cfRule>
          <x14:cfRule type="expression" priority="10166" id="{9D74EBAB-8247-464E-A692-E37C562C012E}">
            <xm:f>IF(Text!$AS$50=-2,TRUE,FALSE)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67" id="{8076F77B-3863-4677-924C-A9F639EA20EE}">
            <xm:f>IF(Text!$AS$50=-1,TRUE,FALSE)</xm:f>
            <x14:dxf>
              <font>
                <color rgb="FFFF0000"/>
              </font>
            </x14:dxf>
          </x14:cfRule>
          <x14:cfRule type="expression" priority="10168" id="{EA04C13D-143F-4F96-88DA-B8D3A9E3961E}">
            <xm:f>IF(Text!$AS$50=1,TRUE,FALSE)</xm:f>
            <x14:dxf>
              <font>
                <color theme="9" tint="-0.24994659260841701"/>
              </font>
            </x14:dxf>
          </x14:cfRule>
          <x14:cfRule type="expression" priority="10169" id="{749E92D2-0704-4FFF-9D31-405EC7EA3787}">
            <xm:f>IF(Text!$AS$50=2,TRUE,FALSE)</xm:f>
            <x14:dxf>
              <font>
                <b/>
                <i val="0"/>
                <strike/>
                <color theme="9" tint="-0.24994659260841701"/>
              </font>
            </x14:dxf>
          </x14:cfRule>
          <xm:sqref>J25</xm:sqref>
        </x14:conditionalFormatting>
        <x14:conditionalFormatting xmlns:xm="http://schemas.microsoft.com/office/excel/2006/main">
          <x14:cfRule type="expression" priority="10170" id="{26E14D59-C96A-4C74-97F2-7F982DA8F18D}">
            <xm:f>IF(OR(Tool!$H$18="Klima-Check",Tool!$H$18="Check Climat",Tool!$H$18="Check Clima"),TRUE,FALSE)</xm:f>
            <x14:dxf>
              <font>
                <b val="0"/>
                <i val="0"/>
                <strike val="0"/>
                <color theme="0" tint="-0.499984740745262"/>
              </font>
              <fill>
                <patternFill>
                  <bgColor theme="0" tint="-4.9989318521683403E-2"/>
                </patternFill>
              </fill>
            </x14:dxf>
          </x14:cfRule>
          <x14:cfRule type="expression" priority="10171" id="{02F6B6AB-814A-4A30-A5A7-31D731B1EAFE}">
            <xm:f>IF(Text!$AS$51=-2,TRUE,FALSE)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72" id="{968FF2C4-8EE1-4366-A870-56CCDB502967}">
            <xm:f>IF(Text!$AS$51=-1,TRUE,FALSE)</xm:f>
            <x14:dxf>
              <font>
                <color rgb="FFFF0000"/>
              </font>
            </x14:dxf>
          </x14:cfRule>
          <x14:cfRule type="expression" priority="10173" id="{F4746B2C-41B6-438C-B7CC-2A8011C90EF3}">
            <xm:f>IF(Text!$AS$51=1,TRUE,FALSE)</xm:f>
            <x14:dxf>
              <font>
                <color theme="9" tint="-0.24994659260841701"/>
              </font>
            </x14:dxf>
          </x14:cfRule>
          <x14:cfRule type="expression" priority="10174" id="{1C123169-F1BB-4EA3-8AF8-B84D9669D8A0}">
            <xm:f>IF(Text!$AS$51=2,TRUE,FALSE)</xm:f>
            <x14:dxf>
              <font>
                <b/>
                <i val="0"/>
                <strike/>
                <color theme="9" tint="-0.24994659260841701"/>
              </font>
            </x14:dxf>
          </x14:cfRule>
          <xm:sqref>G27</xm:sqref>
        </x14:conditionalFormatting>
        <x14:conditionalFormatting xmlns:xm="http://schemas.microsoft.com/office/excel/2006/main">
          <x14:cfRule type="expression" priority="10176" id="{166911C3-79C8-4CFB-8553-C96A6AEC6BFB}">
            <xm:f>IF(Text!$AS$52=-2,TRUE,FALSE)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77" id="{4205E19A-9C8B-45B4-842F-3516802F8559}">
            <xm:f>IF(Text!$AS$52=-1,TRUE,FALSE)</xm:f>
            <x14:dxf>
              <font>
                <color rgb="FFFF0000"/>
              </font>
            </x14:dxf>
          </x14:cfRule>
          <x14:cfRule type="expression" priority="10178" id="{024B2980-F4BE-43C3-8CEE-E522F7E28566}">
            <xm:f>IF(Text!$AS$52=1,TRUE,FALSE)</xm:f>
            <x14:dxf>
              <font>
                <color theme="9" tint="-0.24994659260841701"/>
              </font>
            </x14:dxf>
          </x14:cfRule>
          <x14:cfRule type="expression" priority="10179" id="{D48973C6-F47E-47FF-9E1E-F5BAC366ADBF}">
            <xm:f>IF(Text!$AS$52=2,TRUE,FALSE)</xm:f>
            <x14:dxf>
              <font>
                <b/>
                <i val="0"/>
                <strike/>
                <color theme="9" tint="-0.24994659260841701"/>
              </font>
            </x14:dxf>
          </x14:cfRule>
          <xm:sqref>J27</xm:sqref>
        </x14:conditionalFormatting>
        <x14:conditionalFormatting xmlns:xm="http://schemas.microsoft.com/office/excel/2006/main">
          <x14:cfRule type="expression" priority="10180" id="{7D2002EE-822B-48D0-AF8B-74135100B105}">
            <xm:f>IF(OR(Tool!$H$18="Klima-Check",Tool!$H$18="Check Climat",Tool!$H$18="Check Clima"),TRUE,FALSE)</xm:f>
            <x14:dxf>
              <font>
                <b val="0"/>
                <i val="0"/>
                <strike val="0"/>
                <color theme="0" tint="-0.499984740745262"/>
              </font>
              <fill>
                <patternFill>
                  <bgColor theme="0" tint="-4.9989318521683403E-2"/>
                </patternFill>
              </fill>
            </x14:dxf>
          </x14:cfRule>
          <x14:cfRule type="expression" priority="10181" id="{2933531D-B817-4956-8865-7E06CAF14820}">
            <xm:f>IF(Text!$AS$53=-2,TRUE,FALSE)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82" id="{944D4175-3965-4EF4-B8AA-F19EC97B015E}">
            <xm:f>IF(Text!$AS$53=-1,TRUE,FALSE)</xm:f>
            <x14:dxf>
              <font>
                <color rgb="FFFF0000"/>
              </font>
            </x14:dxf>
          </x14:cfRule>
          <x14:cfRule type="expression" priority="10183" id="{217229AC-7A82-4FD8-8C97-96A5974A7D4B}">
            <xm:f>IF(Text!$AS$53=1,TRUE,FALSE)</xm:f>
            <x14:dxf>
              <font>
                <color theme="9" tint="-0.24994659260841701"/>
              </font>
            </x14:dxf>
          </x14:cfRule>
          <x14:cfRule type="expression" priority="10184" id="{20191DB4-BDB6-4BD1-8CDA-5D6B1F1D6E31}">
            <xm:f>IF(Text!$AS$53=2,TRUE,FALSE)</xm:f>
            <x14:dxf>
              <font>
                <b/>
                <i val="0"/>
                <strike/>
                <color theme="9" tint="-0.24994659260841701"/>
              </font>
            </x14:dxf>
          </x14:cfRule>
          <xm:sqref>M27</xm:sqref>
        </x14:conditionalFormatting>
        <x14:conditionalFormatting xmlns:xm="http://schemas.microsoft.com/office/excel/2006/main">
          <x14:cfRule type="expression" priority="10186" id="{CAFE6F89-EE47-4816-9F01-0764020E3467}">
            <xm:f>IF(Text!$AS$54=-2,TRUE,FALSE)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87" id="{B4EF6869-A0DA-496B-BDB6-4F08259C92C1}">
            <xm:f>IF(Text!$AS$54=-1,TRUE,FALSE)</xm:f>
            <x14:dxf>
              <font>
                <color rgb="FFFF0000"/>
              </font>
            </x14:dxf>
          </x14:cfRule>
          <x14:cfRule type="expression" priority="10188" id="{3EAA034F-DB95-4C16-BA4E-D08EEF1AB77C}">
            <xm:f>IF(Text!$AS$54=1,TRUE,FALSE)</xm:f>
            <x14:dxf>
              <font>
                <color theme="9" tint="-0.24994659260841701"/>
              </font>
            </x14:dxf>
          </x14:cfRule>
          <x14:cfRule type="expression" priority="10189" id="{5B2EC211-BA87-428A-8713-CD4830933448}">
            <xm:f>IF(Text!$AS$54=2,TRUE,FALSE)</xm:f>
            <x14:dxf>
              <font>
                <b/>
                <i val="0"/>
                <strike/>
                <color theme="9" tint="-0.24994659260841701"/>
              </font>
            </x14:dxf>
          </x14:cfRule>
          <xm:sqref>P27</xm:sqref>
        </x14:conditionalFormatting>
        <x14:conditionalFormatting xmlns:xm="http://schemas.microsoft.com/office/excel/2006/main">
          <x14:cfRule type="expression" priority="10191" id="{DE9C38C4-7B08-4186-9875-B81058972D73}">
            <xm:f>IF(Text!$AS$55=-2,TRUE,FALSE)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92" id="{B8F19C17-D72B-4060-BCD4-A3486F921BEB}">
            <xm:f>IF(Text!$AS$55=-1,TRUE,FALSE)</xm:f>
            <x14:dxf>
              <font>
                <color rgb="FFFF0000"/>
              </font>
            </x14:dxf>
          </x14:cfRule>
          <x14:cfRule type="expression" priority="10193" id="{D1CAC78E-6DBF-4418-92B5-BBD6510EEBAA}">
            <xm:f>IF(Text!$AS$55=1,TRUE,FALSE)</xm:f>
            <x14:dxf>
              <font>
                <color theme="9" tint="-0.24994659260841701"/>
              </font>
            </x14:dxf>
          </x14:cfRule>
          <x14:cfRule type="expression" priority="10194" id="{F2FE1D45-97AA-4897-A7BC-FC4A24EBE361}">
            <xm:f>IF(Text!$AS$55=2,TRUE,FALSE)</xm:f>
            <x14:dxf>
              <font>
                <b/>
                <i val="0"/>
                <strike/>
                <color theme="9" tint="-0.24994659260841701"/>
              </font>
            </x14:dxf>
          </x14:cfRule>
          <xm:sqref>S27</xm:sqref>
        </x14:conditionalFormatting>
        <x14:conditionalFormatting xmlns:xm="http://schemas.microsoft.com/office/excel/2006/main">
          <x14:cfRule type="expression" priority="10196" id="{E421D525-7A94-43D6-B074-9528F5A9A64E}">
            <xm:f>IF(Text!$AS$56=-2,TRUE,FALSE)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197" id="{22BD2EC4-0616-4FD4-9288-E4656CF7D5CF}">
            <xm:f>IF(Text!$AS$56=-1,TRUE,FALSE)</xm:f>
            <x14:dxf>
              <font>
                <color rgb="FFFF0000"/>
              </font>
            </x14:dxf>
          </x14:cfRule>
          <x14:cfRule type="expression" priority="10198" id="{5242F5A7-585C-4A18-8E1E-FB758E96A58F}">
            <xm:f>IF(Text!$AS$56=1,TRUE,FALSE)</xm:f>
            <x14:dxf>
              <font>
                <color theme="9" tint="-0.24994659260841701"/>
              </font>
            </x14:dxf>
          </x14:cfRule>
          <x14:cfRule type="expression" priority="10199" id="{E5AB7696-4D6E-41F1-9B78-930823B36DEF}">
            <xm:f>IF(Text!$AS$56=2,TRUE,FALSE)</xm:f>
            <x14:dxf>
              <font>
                <b/>
                <i val="0"/>
                <strike/>
                <color theme="9" tint="-0.24994659260841701"/>
              </font>
            </x14:dxf>
          </x14:cfRule>
          <xm:sqref>V27</xm:sqref>
        </x14:conditionalFormatting>
        <x14:conditionalFormatting xmlns:xm="http://schemas.microsoft.com/office/excel/2006/main">
          <x14:cfRule type="expression" priority="10201" id="{80E9BE0A-2FC6-43ED-912E-E3805BF51064}">
            <xm:f>IF(Text!$AS$57=-2,TRUE,FALSE)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202" id="{F0C70AEE-2172-4219-BB69-0D55224DFEA4}">
            <xm:f>IF(Text!$AS$57=-1,TRUE,FALSE)</xm:f>
            <x14:dxf>
              <font>
                <color rgb="FFFF0000"/>
              </font>
            </x14:dxf>
          </x14:cfRule>
          <x14:cfRule type="expression" priority="10203" id="{E48A72E9-9A20-426A-9F40-A9086CCAB68A}">
            <xm:f>IF(Text!$AS$57=1,TRUE,FALSE)</xm:f>
            <x14:dxf>
              <font>
                <color theme="9" tint="-0.24994659260841701"/>
              </font>
            </x14:dxf>
          </x14:cfRule>
          <x14:cfRule type="expression" priority="10204" id="{55E54F27-1120-4475-9654-BB6F635B0847}">
            <xm:f>IF(Text!$AS$57=2,TRUE,FALSE)</xm:f>
            <x14:dxf>
              <font>
                <b/>
                <i val="0"/>
                <strike/>
                <color theme="9" tint="-0.24994659260841701"/>
              </font>
            </x14:dxf>
          </x14:cfRule>
          <xm:sqref>G29</xm:sqref>
        </x14:conditionalFormatting>
        <x14:conditionalFormatting xmlns:xm="http://schemas.microsoft.com/office/excel/2006/main">
          <x14:cfRule type="expression" priority="10206" id="{D6DD555A-295A-49D2-A26D-C5711F1F9E07}">
            <xm:f>IF(Text!$AS$58=-2,TRUE,FALSE)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207" id="{2BA128FC-92F1-48BA-A305-106BD902BC32}">
            <xm:f>IF(Text!$AS$58=-1,TRUE,FALSE)</xm:f>
            <x14:dxf>
              <font>
                <color rgb="FFFF0000"/>
              </font>
            </x14:dxf>
          </x14:cfRule>
          <x14:cfRule type="expression" priority="10208" id="{AE2151C3-F674-4959-8F48-6EE0545E46CD}">
            <xm:f>IF(Text!$AS$58=1,TRUE,FALSE)</xm:f>
            <x14:dxf>
              <font>
                <color theme="9" tint="-0.24994659260841701"/>
              </font>
            </x14:dxf>
          </x14:cfRule>
          <x14:cfRule type="expression" priority="10209" id="{4D20DE97-F61D-4F78-94ED-53AE816B5B01}">
            <xm:f>IF(Text!$AS$58=2,TRUE,FALSE)</xm:f>
            <x14:dxf>
              <font>
                <b/>
                <i val="0"/>
                <strike/>
                <color theme="9" tint="-0.24994659260841701"/>
              </font>
            </x14:dxf>
          </x14:cfRule>
          <xm:sqref>J29</xm:sqref>
        </x14:conditionalFormatting>
        <x14:conditionalFormatting xmlns:xm="http://schemas.microsoft.com/office/excel/2006/main">
          <x14:cfRule type="expression" priority="10210" id="{3E230199-1734-401B-8399-7C7249A76A8F}">
            <xm:f>IF(OR(Tool!$H$18="Klima-Check",Tool!$H$18="Check Climat",Tool!$H$18="Check Clima"),TRUE,FALSE)</xm:f>
            <x14:dxf>
              <font>
                <b val="0"/>
                <i val="0"/>
                <strike val="0"/>
                <color theme="0" tint="-0.499984740745262"/>
              </font>
              <fill>
                <patternFill>
                  <bgColor theme="0" tint="-4.9989318521683403E-2"/>
                </patternFill>
              </fill>
            </x14:dxf>
          </x14:cfRule>
          <x14:cfRule type="expression" priority="10211" id="{BEEF51B1-86E2-49DD-B8B0-A9FB646089AB}">
            <xm:f>IF(Text!$AS$59=-2,TRUE,FALSE)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212" id="{FE9B169A-F962-4B16-BC18-A665A821A456}">
            <xm:f>IF(Text!$AS$59=-1,TRUE,FALSE)</xm:f>
            <x14:dxf>
              <font>
                <color rgb="FFFF0000"/>
              </font>
            </x14:dxf>
          </x14:cfRule>
          <x14:cfRule type="expression" priority="10213" id="{455AB791-3D86-48B9-B55C-D555662499BB}">
            <xm:f>IF(Text!$AS$59=1,TRUE,FALSE)</xm:f>
            <x14:dxf>
              <font>
                <color theme="9" tint="-0.24994659260841701"/>
              </font>
            </x14:dxf>
          </x14:cfRule>
          <x14:cfRule type="expression" priority="10214" id="{BFB0A2A6-167C-45C1-A230-CED271F03612}">
            <xm:f>IF(Text!$AS$59=2,TRUE,FALSE)</xm:f>
            <x14:dxf>
              <font>
                <b/>
                <i val="0"/>
                <strike/>
                <color theme="9" tint="-0.24994659260841701"/>
              </font>
            </x14:dxf>
          </x14:cfRule>
          <xm:sqref>M29</xm:sqref>
        </x14:conditionalFormatting>
        <x14:conditionalFormatting xmlns:xm="http://schemas.microsoft.com/office/excel/2006/main">
          <x14:cfRule type="expression" priority="10215" id="{F5CD3D79-AF73-407A-B041-B80EE8C7A653}">
            <xm:f>IF(Tool!$H$18="Pre-Check",TRUE,FALSE)</xm:f>
            <x14:dxf>
              <fill>
                <patternFill>
                  <bgColor rgb="FFF0F0F0"/>
                </patternFill>
              </fill>
            </x14:dxf>
          </x14:cfRule>
          <x14:cfRule type="expression" priority="10216" id="{DD116CF2-F57E-413E-9D99-9B1A43172D2A}">
            <xm:f>IF(Text!$AV$47=-2,TRUE,FALSE)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217" id="{01E6DD9B-63EA-4915-A203-6C0D59F18E95}">
            <xm:f>IF(Text!$AV$47=-1,TRUE,FALSE)</xm:f>
            <x14:dxf>
              <font>
                <color rgb="FFFF0000"/>
              </font>
            </x14:dxf>
          </x14:cfRule>
          <x14:cfRule type="expression" priority="10218" id="{E84FAD4A-23E0-42A9-AD63-DFE23BA14497}">
            <xm:f>IF(Text!$AV$47=1,TRUE,FALSE)</xm:f>
            <x14:dxf>
              <font>
                <color theme="9" tint="-0.24994659260841701"/>
              </font>
            </x14:dxf>
          </x14:cfRule>
          <x14:cfRule type="expression" priority="10219" id="{BD243F58-1166-43A3-AB05-0F70D8F0B649}">
            <xm:f>IF(Text!$AV$47=2,TRUE,FALSE)</xm:f>
            <x14:dxf>
              <font>
                <b/>
                <i val="0"/>
                <strike/>
                <color theme="9" tint="-0.24994659260841701"/>
              </font>
            </x14:dxf>
          </x14:cfRule>
          <xm:sqref>J26</xm:sqref>
        </x14:conditionalFormatting>
        <x14:conditionalFormatting xmlns:xm="http://schemas.microsoft.com/office/excel/2006/main">
          <x14:cfRule type="expression" priority="10220" id="{C9942298-D3A0-431D-9EB7-D727191B47B4}">
            <xm:f>IF(Tool!$H$18="Pre-Check",TRUE,FALSE)</xm:f>
            <x14:dxf>
              <fill>
                <patternFill>
                  <bgColor rgb="FFF0F0F0"/>
                </patternFill>
              </fill>
            </x14:dxf>
          </x14:cfRule>
          <x14:cfRule type="expression" priority="10221" id="{E9EDBED2-E05E-4E2B-8744-E47C04A2885D}">
            <xm:f>IF(Text!$AV$48=-2,TRUE,FALSE)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222" id="{CEBA4EEA-68B1-415D-8E1A-5C254FC5A95C}">
            <xm:f>IF(Text!$AV$48=-1,TRUE,FALSE)</xm:f>
            <x14:dxf>
              <font>
                <color rgb="FFFF0000"/>
              </font>
            </x14:dxf>
          </x14:cfRule>
          <x14:cfRule type="expression" priority="10223" id="{79159336-8D5F-4F51-A864-3492D148B5E8}">
            <xm:f>IF(Text!$AV$48=1,TRUE,FALSE)</xm:f>
            <x14:dxf>
              <font>
                <color theme="9" tint="-0.24994659260841701"/>
              </font>
            </x14:dxf>
          </x14:cfRule>
          <x14:cfRule type="expression" priority="10224" id="{0D7FEAE7-B9ED-49A9-AE06-4EDFFCE1073E}">
            <xm:f>IF(Text!$AV$48=2,TRUE,FALSE)</xm:f>
            <x14:dxf>
              <font>
                <b/>
                <i val="0"/>
                <strike/>
                <color theme="9" tint="-0.24994659260841701"/>
              </font>
            </x14:dxf>
          </x14:cfRule>
          <xm:sqref>P28</xm:sqref>
        </x14:conditionalFormatting>
        <x14:conditionalFormatting xmlns:xm="http://schemas.microsoft.com/office/excel/2006/main">
          <x14:cfRule type="expression" priority="60" id="{6EF59C7D-0B82-4056-9F13-221D1B74CCB0}">
            <xm:f>IF(OR(Tool!$H$18="Klima-Check",Tool!$H$18="Check Climat",Tool!$H$18="Check Clima"),TRUE,FALSE)</xm:f>
            <x14:dxf>
              <font>
                <strike val="0"/>
                <color theme="0" tint="-0.499984740745262"/>
              </font>
              <fill>
                <patternFill>
                  <bgColor rgb="FFF6F6F6"/>
                </patternFill>
              </fill>
              <border>
                <left/>
                <right/>
                <top/>
                <bottom/>
                <vertical/>
                <horizontal/>
              </border>
            </x14:dxf>
          </x14:cfRule>
          <xm:sqref>L6</xm:sqref>
        </x14:conditionalFormatting>
        <x14:conditionalFormatting xmlns:xm="http://schemas.microsoft.com/office/excel/2006/main">
          <x14:cfRule type="expression" priority="21" id="{7FAE917A-80B0-4115-B2D5-6FEE0E852B16}">
            <xm:f>IF(OR(Tool!$H$18="Klima-Check",Tool!$H$18="Check Climat",Tool!$H$18="Check Clima"),TRUE,FALSE)</xm:f>
            <x14:dxf>
              <font>
                <strike val="0"/>
                <color theme="0" tint="-0.499984740745262"/>
              </font>
              <fill>
                <patternFill>
                  <bgColor theme="0"/>
                </patternFill>
              </fill>
              <border>
                <left/>
                <right/>
                <top/>
                <bottom/>
                <vertical/>
                <horizontal/>
              </border>
            </x14:dxf>
          </x14:cfRule>
          <xm:sqref>F20</xm:sqref>
        </x14:conditionalFormatting>
        <x14:conditionalFormatting xmlns:xm="http://schemas.microsoft.com/office/excel/2006/main">
          <x14:cfRule type="expression" priority="15" id="{FFB65BDA-7625-49BE-8F50-9250C30C04AC}">
            <xm:f>IF(OR(Tool!$H$18="Klima-Check",Tool!$H$18="Check Climat",Tool!$H$18="Check Clima"),TRUE,FALSE)</xm:f>
            <x14:dxf>
              <font>
                <strike val="0"/>
                <color theme="0" tint="-0.499984740745262"/>
              </font>
              <fill>
                <patternFill>
                  <bgColor rgb="FFF6F6F6"/>
                </patternFill>
              </fill>
              <border>
                <left/>
                <right/>
                <top/>
                <bottom/>
                <vertical/>
                <horizontal/>
              </border>
            </x14:dxf>
          </x14:cfRule>
          <xm:sqref>I9</xm:sqref>
        </x14:conditionalFormatting>
        <x14:conditionalFormatting xmlns:xm="http://schemas.microsoft.com/office/excel/2006/main">
          <x14:cfRule type="expression" priority="14" id="{64179FED-605B-4543-BC4D-CB183A8857B7}">
            <xm:f>IF(OR(Tool!$H$18="Klima-Check",Tool!$H$18="Check Climat",Tool!$H$18="Check Clima"),TRUE,FALSE)</xm:f>
            <x14:dxf>
              <font>
                <strike val="0"/>
                <color theme="0" tint="-0.499984740745262"/>
              </font>
              <fill>
                <patternFill>
                  <bgColor rgb="FFF6F6F6"/>
                </patternFill>
              </fill>
              <border>
                <left/>
                <right/>
                <top/>
                <bottom/>
                <vertical/>
                <horizontal/>
              </border>
            </x14:dxf>
          </x14:cfRule>
          <xm:sqref>I13</xm:sqref>
        </x14:conditionalFormatting>
        <x14:conditionalFormatting xmlns:xm="http://schemas.microsoft.com/office/excel/2006/main">
          <x14:cfRule type="expression" priority="13" id="{AAEE7157-0CA2-4CED-8557-18ED8622DB59}">
            <xm:f>IF(OR(Tool!$H$18="Klima-Check",Tool!$H$18="Check Climat",Tool!$H$18="Check Clima"),TRUE,FALSE)</xm:f>
            <x14:dxf>
              <font>
                <strike val="0"/>
                <color theme="0" tint="-0.499984740745262"/>
              </font>
              <fill>
                <patternFill>
                  <bgColor rgb="FFF6F6F6"/>
                </patternFill>
              </fill>
              <border>
                <left/>
                <right/>
                <top/>
                <bottom/>
                <vertical/>
                <horizontal/>
              </border>
            </x14:dxf>
          </x14:cfRule>
          <xm:sqref>F13</xm:sqref>
        </x14:conditionalFormatting>
        <x14:conditionalFormatting xmlns:xm="http://schemas.microsoft.com/office/excel/2006/main">
          <x14:cfRule type="expression" priority="12" id="{9D2ECB06-40D5-4E27-8903-F3754B3B4BA4}">
            <xm:f>IF(OR(Tool!$H$18="Klima-Check",Tool!$H$18="Check Climat",Tool!$H$18="Check Clima"),TRUE,FALSE)</xm:f>
            <x14:dxf>
              <font>
                <strike val="0"/>
                <color theme="0" tint="-0.499984740745262"/>
              </font>
              <fill>
                <patternFill>
                  <bgColor rgb="FFF6F6F6"/>
                </patternFill>
              </fill>
              <border>
                <left/>
                <right/>
                <top/>
                <bottom/>
                <vertical/>
                <horizontal/>
              </border>
            </x14:dxf>
          </x14:cfRule>
          <xm:sqref>I16</xm:sqref>
        </x14:conditionalFormatting>
        <x14:conditionalFormatting xmlns:xm="http://schemas.microsoft.com/office/excel/2006/main">
          <x14:cfRule type="expression" priority="11" id="{9B973047-5A03-493B-A83D-FF594370B247}">
            <xm:f>IF(OR(Tool!$H$18="Klima-Check",Tool!$H$18="Check Climat",Tool!$H$18="Check Clima"),TRUE,FALSE)</xm:f>
            <x14:dxf>
              <font>
                <strike val="0"/>
                <color theme="0" tint="-0.499984740745262"/>
              </font>
              <fill>
                <patternFill>
                  <bgColor rgb="FFF6F6F6"/>
                </patternFill>
              </fill>
              <border>
                <left/>
                <right/>
                <top/>
                <bottom/>
                <vertical/>
                <horizontal/>
              </border>
            </x14:dxf>
          </x14:cfRule>
          <xm:sqref>I18</xm:sqref>
        </x14:conditionalFormatting>
        <x14:conditionalFormatting xmlns:xm="http://schemas.microsoft.com/office/excel/2006/main">
          <x14:cfRule type="expression" priority="10" id="{103BF3F5-C4A1-4CB6-9173-5271B9BA32D4}">
            <xm:f>IF(OR(Tool!$H$18="Klima-Check",Tool!$H$18="Check Climat",Tool!$H$18="Check Clima"),TRUE,FALSE)</xm:f>
            <x14:dxf>
              <font>
                <strike val="0"/>
                <color theme="0" tint="-0.499984740745262"/>
              </font>
              <fill>
                <patternFill>
                  <bgColor rgb="FFF6F6F6"/>
                </patternFill>
              </fill>
              <border>
                <left/>
                <right/>
                <top/>
                <bottom/>
                <vertical/>
                <horizontal/>
              </border>
            </x14:dxf>
          </x14:cfRule>
          <xm:sqref>R13</xm:sqref>
        </x14:conditionalFormatting>
        <x14:conditionalFormatting xmlns:xm="http://schemas.microsoft.com/office/excel/2006/main">
          <x14:cfRule type="expression" priority="9" id="{D823C447-71AF-4AE8-A2B9-5CA8FA5F50B7}">
            <xm:f>IF(OR(Tool!$H$18="Klima-Check",Tool!$H$18="Check Climat",Tool!$H$18="Check Clima"),TRUE,FALSE)</xm:f>
            <x14:dxf>
              <font>
                <strike val="0"/>
                <color theme="0" tint="-0.499984740745262"/>
              </font>
              <fill>
                <patternFill>
                  <bgColor rgb="FFF6F6F6"/>
                </patternFill>
              </fill>
              <border>
                <left/>
                <right/>
                <top/>
                <bottom/>
                <vertical/>
                <horizontal/>
              </border>
            </x14:dxf>
          </x14:cfRule>
          <xm:sqref>U13</xm:sqref>
        </x14:conditionalFormatting>
        <x14:conditionalFormatting xmlns:xm="http://schemas.microsoft.com/office/excel/2006/main">
          <x14:cfRule type="expression" priority="8" id="{62ABF5C5-51F8-44D5-A0C5-3D659734DDE4}">
            <xm:f>IF(OR(Tool!$H$18="Klima-Check",Tool!$H$18="Check Climat",Tool!$H$18="Check Clima"),TRUE,FALSE)</xm:f>
            <x14:dxf>
              <font>
                <strike val="0"/>
                <color theme="0" tint="-0.499984740745262"/>
              </font>
              <fill>
                <patternFill>
                  <bgColor rgb="FFF6F6F6"/>
                </patternFill>
              </fill>
              <border>
                <left/>
                <right/>
                <top/>
                <bottom/>
                <vertical/>
                <horizontal/>
              </border>
            </x14:dxf>
          </x14:cfRule>
          <xm:sqref>L27</xm:sqref>
        </x14:conditionalFormatting>
        <x14:conditionalFormatting xmlns:xm="http://schemas.microsoft.com/office/excel/2006/main">
          <x14:cfRule type="expression" priority="7" id="{2ECCBC2C-84B7-49F1-A536-5FBA7AD89AED}">
            <xm:f>IF(OR(Tool!$H$18="Klima-Check",Tool!$H$18="Check Climat",Tool!$H$18="Check Clima"),TRUE,FALSE)</xm:f>
            <x14:dxf>
              <font>
                <strike val="0"/>
                <color theme="0" tint="-0.499984740745262"/>
              </font>
              <fill>
                <patternFill>
                  <bgColor rgb="FFF6F6F6"/>
                </patternFill>
              </fill>
              <border>
                <left/>
                <right/>
                <top/>
                <bottom/>
                <vertical/>
                <horizontal/>
              </border>
            </x14:dxf>
          </x14:cfRule>
          <xm:sqref>F27</xm:sqref>
        </x14:conditionalFormatting>
        <x14:conditionalFormatting xmlns:xm="http://schemas.microsoft.com/office/excel/2006/main">
          <x14:cfRule type="expression" priority="6" id="{77548BF7-0F58-4FEB-A023-D50F94112A0A}">
            <xm:f>IF(OR(Tool!$H$18="Klima-Check",Tool!$H$18="Check Climat",Tool!$H$18="Check Clima"),TRUE,FALSE)</xm:f>
            <x14:dxf>
              <font>
                <strike val="0"/>
                <color theme="0" tint="-0.499984740745262"/>
              </font>
              <fill>
                <patternFill>
                  <bgColor rgb="FFF6F6F6"/>
                </patternFill>
              </fill>
              <border>
                <left/>
                <right/>
                <top/>
                <bottom/>
                <vertical/>
                <horizontal/>
              </border>
            </x14:dxf>
          </x14:cfRule>
          <xm:sqref>F25</xm:sqref>
        </x14:conditionalFormatting>
        <x14:conditionalFormatting xmlns:xm="http://schemas.microsoft.com/office/excel/2006/main">
          <x14:cfRule type="expression" priority="5" id="{69DA93B1-07BF-4F88-9838-BA8F541751C5}">
            <xm:f>IF(OR(Tool!$H$18="Klima-Check",Tool!$H$18="Check Climat",Tool!$H$18="Check Clima"),TRUE,FALSE)</xm:f>
            <x14:dxf>
              <font>
                <strike val="0"/>
                <color theme="0" tint="-0.499984740745262"/>
              </font>
              <fill>
                <patternFill>
                  <bgColor rgb="FFF6F6F6"/>
                </patternFill>
              </fill>
              <border>
                <left/>
                <right/>
                <top/>
                <bottom/>
                <vertical/>
                <horizontal/>
              </border>
            </x14:dxf>
          </x14:cfRule>
          <xm:sqref>I25</xm:sqref>
        </x14:conditionalFormatting>
        <x14:conditionalFormatting xmlns:xm="http://schemas.microsoft.com/office/excel/2006/main">
          <x14:cfRule type="expression" priority="4" id="{15866B93-1AE2-4C39-81A5-A814CCF619CD}">
            <xm:f>IF(OR(Tool!$H$18="Klima-Check",Tool!$H$18="Check Climat",Tool!$H$18="Check Clima"),TRUE,FALSE)</xm:f>
            <x14:dxf>
              <font>
                <strike val="0"/>
                <color theme="0" tint="-0.499984740745262"/>
              </font>
              <fill>
                <patternFill>
                  <bgColor rgb="FFF6F6F6"/>
                </patternFill>
              </fill>
              <border>
                <left/>
                <right/>
                <top/>
                <bottom/>
                <vertical/>
                <horizontal/>
              </border>
            </x14:dxf>
          </x14:cfRule>
          <xm:sqref>L29</xm:sqref>
        </x14:conditionalFormatting>
        <x14:conditionalFormatting xmlns:xm="http://schemas.microsoft.com/office/excel/2006/main">
          <x14:cfRule type="expression" priority="3" id="{68E6A4DE-72A4-4785-B5B3-32BC4AB57D6F}">
            <xm:f>IF(OR(Tool!$H$18="Klima-Check",Tool!$H$18="Check Climat",Tool!$H$18="Check Clima"),TRUE,FALSE)</xm:f>
            <x14:dxf>
              <font>
                <strike val="0"/>
                <color theme="0" tint="-0.499984740745262"/>
              </font>
              <fill>
                <patternFill>
                  <bgColor rgb="FFF6F6F6"/>
                </patternFill>
              </fill>
              <border>
                <left/>
                <right/>
                <top/>
                <bottom/>
                <vertical/>
                <horizontal/>
              </border>
            </x14:dxf>
          </x14:cfRule>
          <xm:sqref>I11</xm:sqref>
        </x14:conditionalFormatting>
        <x14:conditionalFormatting xmlns:xm="http://schemas.microsoft.com/office/excel/2006/main">
          <x14:cfRule type="expression" priority="2" id="{8C6DF826-9C8F-4202-BC17-3AAA936CADB9}">
            <xm:f>IF(OR(Tool!$H$18="Klima-Check",Tool!$H$18="Check Climat",Tool!$H$18="Check Clima"),TRUE,FALSE)</xm:f>
            <x14:dxf>
              <font>
                <strike val="0"/>
                <color theme="0" tint="-0.499984740745262"/>
              </font>
              <fill>
                <patternFill>
                  <bgColor rgb="FFF6F6F6"/>
                </patternFill>
              </fill>
              <border>
                <left/>
                <right/>
                <top/>
                <bottom/>
                <vertical/>
                <horizontal/>
              </border>
            </x14:dxf>
          </x14:cfRule>
          <xm:sqref>X13</xm:sqref>
        </x14:conditionalFormatting>
      </x14:conditionalFormattings>
    </ext>
    <ext xmlns:x14="http://schemas.microsoft.com/office/spreadsheetml/2009/9/main" uri="{CCE6A557-97BC-4b89-ADB6-D9C93CAAB3DF}">
      <x14:dataValidations xmlns:xm="http://schemas.microsoft.com/office/excel/2006/main" xWindow="1428" yWindow="1348" count="3">
        <x14:dataValidation type="list" allowBlank="1" showInputMessage="1" showErrorMessage="1" xr:uid="{8FD8754F-C1FE-4BB7-A3C4-C788CA6A17B4}">
          <x14:formula1>
            <xm:f>Text!$AL$4:$AL$6</xm:f>
          </x14:formula1>
          <xm:sqref>T87</xm:sqref>
        </x14:dataValidation>
        <x14:dataValidation type="list" allowBlank="1" showInputMessage="1" showErrorMessage="1" xr:uid="{F36A4DD5-B62A-48E8-A915-30C48418A02A}">
          <x14:formula1>
            <xm:f>Text!$AL$4:$AL$5</xm:f>
          </x14:formula1>
          <xm:sqref>S87</xm:sqref>
        </x14:dataValidation>
        <x14:dataValidation type="list" allowBlank="1" showInputMessage="1" showErrorMessage="1" xr:uid="{3768BA9E-92D3-4E0A-A32F-C031DC7FF59C}">
          <x14:formula1>
            <xm:f>Text!$AY$4:$AY$7</xm:f>
          </x14:formula1>
          <xm:sqref>S677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04">
    <pageSetUpPr autoPageBreaks="0" fitToPage="1"/>
  </sheetPr>
  <dimension ref="A1:AM525"/>
  <sheetViews>
    <sheetView showGridLines="0" showRowColHeaders="0" zoomScale="85" zoomScaleNormal="85" workbookViewId="0">
      <pane ySplit="5" topLeftCell="A6" activePane="bottomLeft" state="frozenSplit"/>
      <selection pane="bottomLeft" activeCell="A7" sqref="A7"/>
    </sheetView>
  </sheetViews>
  <sheetFormatPr baseColWidth="10" defaultColWidth="0" defaultRowHeight="14.5"/>
  <cols>
    <col min="1" max="1" width="1.54296875" style="1" customWidth="1"/>
    <col min="2" max="2" width="5.453125" style="1" customWidth="1"/>
    <col min="3" max="3" width="1.453125" style="1" customWidth="1"/>
    <col min="4" max="4" width="25.54296875" style="1" customWidth="1"/>
    <col min="5" max="6" width="1.54296875" style="1" customWidth="1"/>
    <col min="7" max="7" width="5.453125" style="1" customWidth="1"/>
    <col min="8" max="8" width="13.81640625" style="1" customWidth="1"/>
    <col min="9" max="9" width="5.453125" style="1" customWidth="1"/>
    <col min="10" max="10" width="5.7265625" style="1" customWidth="1"/>
    <col min="11" max="11" width="17.54296875" style="1" customWidth="1"/>
    <col min="12" max="12" width="1.54296875" style="1" customWidth="1"/>
    <col min="13" max="13" width="1.453125" style="1" customWidth="1"/>
    <col min="14" max="14" width="4.1796875" style="1" customWidth="1"/>
    <col min="15" max="15" width="18.54296875" style="1" customWidth="1"/>
    <col min="16" max="16" width="1.54296875" style="1" customWidth="1"/>
    <col min="17" max="17" width="5.453125" style="1" customWidth="1"/>
    <col min="18" max="18" width="18.54296875" style="1" customWidth="1"/>
    <col min="19" max="20" width="1.54296875" style="1" customWidth="1"/>
    <col min="21" max="21" width="4.453125" style="1" customWidth="1"/>
    <col min="22" max="22" width="18.54296875" style="1" customWidth="1"/>
    <col min="23" max="23" width="1.54296875" style="1" customWidth="1"/>
    <col min="24" max="24" width="5.453125" style="1" customWidth="1"/>
    <col min="25" max="25" width="12" style="1" customWidth="1"/>
    <col min="26" max="26" width="5.453125" style="1" customWidth="1"/>
    <col min="27" max="27" width="1.54296875" style="50" customWidth="1"/>
    <col min="28" max="31" width="5.453125" style="1" customWidth="1"/>
    <col min="32" max="32" width="7.54296875" style="1" customWidth="1"/>
    <col min="33" max="33" width="5.453125" style="1" customWidth="1"/>
    <col min="34" max="34" width="1.54296875" style="1" customWidth="1"/>
    <col min="35" max="16384" width="11.453125" style="1" hidden="1"/>
  </cols>
  <sheetData>
    <row r="1" spans="1:39" s="90" customFormat="1" ht="5.15" customHeight="1">
      <c r="A1" s="1559"/>
      <c r="C1" s="48"/>
    </row>
    <row r="2" spans="1:39" s="14" customFormat="1" ht="20.149999999999999" customHeight="1" thickBot="1">
      <c r="B2" s="177"/>
      <c r="C2" s="16"/>
      <c r="D2" s="178" t="str">
        <f>Text!$C$314</f>
        <v>Im Pre-Check navigieren</v>
      </c>
      <c r="G2" s="2009" t="str">
        <f>Text!$C$313</f>
        <v>Sprachenauswahl</v>
      </c>
      <c r="H2" s="2010"/>
      <c r="I2" s="245"/>
      <c r="J2" s="245"/>
      <c r="K2" s="2009" t="str">
        <f>Text!$C$316</f>
        <v>Zur Einleitung</v>
      </c>
      <c r="L2" s="2010"/>
      <c r="M2" s="245"/>
      <c r="N2" s="151"/>
      <c r="O2" s="191" t="str">
        <f>Text!$C$317</f>
        <v>Zum Fragenkatalog</v>
      </c>
      <c r="P2" s="245"/>
      <c r="Q2" s="151"/>
      <c r="R2" s="764">
        <f>IF(Tool!H18="Pre-Check &amp; Klimafit-Check",2,IF(Tool!H18="Klimafit-Check",1,0))</f>
        <v>0</v>
      </c>
      <c r="S2" s="1"/>
      <c r="T2" s="1"/>
      <c r="U2" s="1"/>
      <c r="V2" s="995">
        <f>IF(OR(Tool!H18="Pre-Check &amp; Klima-Check",Tool!H18="Pre-Check &amp; Check Climat",Tool!H18="Pre-Check &amp; Check Clima"),2,IF(Tool!H18="Pre-Check",0,1))</f>
        <v>1</v>
      </c>
    </row>
    <row r="3" spans="1:39" s="14" customFormat="1" ht="10.4" customHeight="1" thickTop="1">
      <c r="B3" s="177"/>
      <c r="C3" s="16"/>
      <c r="D3" s="178"/>
      <c r="G3" s="93"/>
      <c r="H3" s="93"/>
      <c r="I3" s="93"/>
      <c r="J3" s="93"/>
      <c r="K3" s="93"/>
      <c r="L3" s="93"/>
      <c r="M3" s="93"/>
      <c r="O3" s="93"/>
      <c r="P3" s="93"/>
    </row>
    <row r="4" spans="1:39" s="14" customFormat="1" ht="20.149999999999999" customHeight="1" thickBot="1">
      <c r="B4" s="177"/>
      <c r="C4" s="16"/>
      <c r="D4" s="178" t="str">
        <f>Text!$C$553</f>
        <v>Exportieren/Drucken</v>
      </c>
      <c r="G4" s="2009" t="str">
        <f>Text!$C$553</f>
        <v>Exportieren/Drucken</v>
      </c>
      <c r="H4" s="2010"/>
      <c r="I4" s="245"/>
      <c r="J4" s="245"/>
      <c r="O4" s="151"/>
    </row>
    <row r="5" spans="1:39" s="14" customFormat="1" ht="20.149999999999999" customHeight="1" thickTop="1">
      <c r="B5" s="177"/>
      <c r="C5" s="16"/>
      <c r="D5" s="133" t="str">
        <f>Text!$C$320</f>
        <v>Menu ein- oder ausblenden</v>
      </c>
      <c r="H5" s="93"/>
      <c r="I5" s="93"/>
      <c r="J5" s="93"/>
    </row>
    <row r="6" spans="1:39" s="93" customFormat="1" ht="3" customHeight="1">
      <c r="B6" s="192"/>
      <c r="C6" s="193"/>
      <c r="D6" s="133"/>
    </row>
    <row r="7" spans="1:39" s="48" customFormat="1" ht="30" customHeight="1">
      <c r="AA7" s="91"/>
    </row>
    <row r="8" spans="1:39" ht="30" customHeight="1">
      <c r="K8" s="1785"/>
      <c r="L8" s="1785"/>
      <c r="M8" s="1785"/>
      <c r="N8" s="1785"/>
      <c r="O8" s="1785"/>
      <c r="P8" s="477"/>
      <c r="Q8" s="477"/>
      <c r="S8" s="976"/>
      <c r="T8" s="976"/>
      <c r="Z8" s="976" t="str">
        <f>Text!$C$39</f>
        <v>SNBS-HOCHBAU</v>
      </c>
      <c r="AA8" s="976"/>
    </row>
    <row r="9" spans="1:39" ht="31.5" customHeight="1">
      <c r="D9" s="231" t="str">
        <f>Text!$C$554</f>
        <v>Datum:</v>
      </c>
      <c r="E9" s="1830"/>
      <c r="F9" s="1830"/>
      <c r="G9" s="1830"/>
      <c r="H9" s="1830"/>
      <c r="I9" s="46"/>
      <c r="J9" s="46"/>
      <c r="K9" s="1786"/>
      <c r="L9" s="1786"/>
      <c r="M9" s="1786"/>
      <c r="N9" s="1786"/>
      <c r="O9" s="1786"/>
      <c r="P9" s="478"/>
      <c r="Q9" s="478"/>
      <c r="S9" s="1127"/>
      <c r="T9" s="1127"/>
      <c r="Z9" s="1127" t="str">
        <f>Text!$C$40</f>
        <v>Version 2023.1</v>
      </c>
      <c r="AA9" s="1127"/>
    </row>
    <row r="10" spans="1:39" ht="14.15" customHeight="1">
      <c r="D10" s="19" t="str">
        <f>Text!$C$555</f>
        <v>Name des Projekts:</v>
      </c>
      <c r="E10" s="1831"/>
      <c r="F10" s="1831"/>
      <c r="G10" s="1831"/>
      <c r="H10" s="1831"/>
      <c r="K10" s="1832"/>
      <c r="L10" s="1832"/>
      <c r="M10" s="1832"/>
      <c r="N10" s="1832"/>
      <c r="O10" s="1832"/>
      <c r="P10" s="479"/>
      <c r="Q10" s="479"/>
    </row>
    <row r="11" spans="1:39" s="48" customFormat="1" ht="32.5" customHeight="1">
      <c r="H11" s="470"/>
      <c r="I11" s="194"/>
      <c r="J11" s="194"/>
      <c r="K11" s="194"/>
      <c r="L11" s="194"/>
      <c r="M11" s="1789" t="str">
        <f>IF(Tool!H18="","",IF(AND(Tool!H7="Deutsch",Tool!H18="Pre-Check"),"Pre-Check SNBS 2023.1 Hochbau",IF(AND(Tool!H7="Deutsch",Tool!H18="Pre-Check &amp; Klima-Check"),"Pre-Check &amp; Klima-Check SNBS 2023.1 Hochbau",IF(AND(Tool!H7="Deutsch",Tool!H18="Klima-Check"),"Klima-Check SNBS 2023.1 Hochbau",IF(AND(Tool!H7="Français",Tool!H18="Pre-Check &amp; Check Climat"),"Pre-Check &amp; Check Climat SNBS 2023.1 Bâtiment",IF(AND(Tool!H7="Français",Tool!H18="Check Climat"),"Check Climat SNBS 2023.1 Bâtiment",IF(AND(Tool!H7="Français",Tool!H18="Pre-Check"),"Pre-Check SNBS 2023.1 Bâtiment",IF(AND(Tool!H7="Italiano",Tool!H18="Pre-Check &amp; Check Clima"),"Pre-Check &amp; Check Clima SNBS 2023.1 Edificio",IF(AND(Tool!H7="Italiano",Tool!H18="Check Clima"),"Check Clima SNBS 2023.1 Edificio",IF(AND(Tool!H7="Italiano",Tool!H18="Pre-Check"),"Pre-Check SNBS 2023.1 Edificio","Pre-Check SNBS 2023.1 Hochbau"))))))))))</f>
        <v/>
      </c>
      <c r="N11" s="1789"/>
      <c r="O11" s="1789"/>
      <c r="P11" s="1789"/>
      <c r="Q11" s="1789"/>
      <c r="R11" s="1789"/>
      <c r="S11" s="1789"/>
      <c r="T11" s="1789"/>
      <c r="U11" s="1789"/>
      <c r="AA11" s="91"/>
    </row>
    <row r="12" spans="1:39" s="4" customFormat="1" ht="117.65" customHeight="1">
      <c r="C12" s="21"/>
      <c r="D12" s="1795" t="str">
        <f>Text!$C$561&amp;"
"&amp;Text!$C$562&amp;"
"&amp;Text!$C$566&amp;"
"&amp;Text!$C$567</f>
        <v>Die Illustrationen im Ergebnisregister fassen die Projektbewertung zusammen und bestehen aus zwei Teilen:
Die erste Abbildung, steht die Bewertung der einzelnen Themen in Form von einem Spinnendiagram dar. Dieses ermöglicht die rasche Identifizierung von Stärken und Schwächen innerhalb des Projekts, aber auch den visuellen Vergleich zwischen Projektvarianten oder unterschiedlichen Projekten.
In der Abbildung auf der zweiten Seite wird in Form von horizontalen Balken gezeigt, wie gut ein Projekt die Anforderungen des SNBS in den jeweiligen Themen der Bereiche Gesellschaft, Wirtschaft und Umwelt sowie in den Bereichen selbst erfüllt.
Dazu werden die einzelnen Kriterien mit Farbcodes bewertet: Grüne Schrift und durchgestrichen bedeutet «gut», nur grüne Schrift steht für «genügend», rote Schrift steht für «ungenügend» und fette rote Schrift in rotem Rahmen kennzeichnet die «Stolpersteine».</v>
      </c>
      <c r="E12" s="1795"/>
      <c r="F12" s="1795"/>
      <c r="G12" s="1795"/>
      <c r="H12" s="1795"/>
      <c r="I12" s="1795"/>
      <c r="J12" s="1795"/>
      <c r="K12" s="1795"/>
      <c r="L12" s="1795"/>
      <c r="M12" s="1795"/>
      <c r="N12" s="1795"/>
      <c r="O12" s="1795"/>
      <c r="P12" s="1795"/>
      <c r="Q12" s="1795"/>
      <c r="R12" s="1795"/>
      <c r="S12" s="1795"/>
      <c r="T12" s="1795"/>
      <c r="U12" s="1795"/>
      <c r="V12" s="1795"/>
      <c r="W12" s="1795"/>
      <c r="X12" s="1795"/>
      <c r="Y12" s="1795"/>
      <c r="Z12" s="1795"/>
      <c r="AA12" s="1795"/>
      <c r="AB12" s="1795"/>
      <c r="AC12" s="1795"/>
      <c r="AD12" s="1795"/>
      <c r="AE12" s="1795"/>
      <c r="AF12" s="1795"/>
      <c r="AG12" s="125"/>
      <c r="AH12" s="125"/>
      <c r="AI12" s="125"/>
      <c r="AJ12" s="125"/>
      <c r="AK12" s="125"/>
      <c r="AL12" s="125"/>
    </row>
    <row r="13" spans="1:39" s="4" customFormat="1" ht="10.4" customHeight="1">
      <c r="C13" s="21"/>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row>
    <row r="14" spans="1:39" ht="20.149999999999999" customHeight="1">
      <c r="K14" s="131"/>
      <c r="L14" s="131"/>
      <c r="M14" s="78"/>
      <c r="V14" s="1267"/>
      <c r="W14" s="1267"/>
      <c r="X14" s="1267"/>
      <c r="Y14" s="1267"/>
      <c r="Z14" s="1267"/>
      <c r="AA14" s="1267"/>
      <c r="AB14" s="1971"/>
      <c r="AC14" s="1971"/>
      <c r="AD14" s="1971"/>
      <c r="AE14" s="1971"/>
      <c r="AF14" s="131"/>
      <c r="AG14" s="1234"/>
      <c r="AH14" s="475"/>
      <c r="AI14" s="78"/>
      <c r="AJ14" s="78"/>
      <c r="AK14" s="78"/>
      <c r="AL14" s="78"/>
      <c r="AM14" s="78"/>
    </row>
    <row r="15" spans="1:39" ht="5.15" customHeight="1">
      <c r="B15" s="1957"/>
      <c r="C15" s="1957"/>
      <c r="D15" s="1957"/>
      <c r="E15" s="1957"/>
      <c r="F15" s="1957"/>
      <c r="G15" s="1957"/>
      <c r="H15" s="1957"/>
      <c r="I15" s="1957"/>
      <c r="J15" s="1957"/>
      <c r="K15" s="1957"/>
      <c r="M15" s="78"/>
      <c r="V15" s="1267"/>
      <c r="W15" s="1267"/>
      <c r="X15" s="1267"/>
      <c r="Y15" s="1267"/>
      <c r="Z15" s="1267"/>
      <c r="AA15" s="1267"/>
      <c r="AE15" s="475"/>
      <c r="AG15" s="475"/>
      <c r="AH15" s="475"/>
      <c r="AI15" s="78"/>
      <c r="AJ15" s="78"/>
      <c r="AK15" s="78"/>
      <c r="AL15" s="78"/>
      <c r="AM15" s="78"/>
    </row>
    <row r="16" spans="1:39" ht="10.4" customHeight="1">
      <c r="B16" s="1957"/>
      <c r="C16" s="1957"/>
      <c r="D16" s="1957"/>
      <c r="E16" s="1957"/>
      <c r="F16" s="1957"/>
      <c r="G16" s="1957"/>
      <c r="H16" s="1957"/>
      <c r="I16" s="1957"/>
      <c r="J16" s="1957"/>
      <c r="K16" s="1957"/>
      <c r="L16" s="131"/>
      <c r="M16" s="78"/>
      <c r="V16" s="1267"/>
      <c r="W16" s="1267"/>
      <c r="X16" s="1267"/>
      <c r="Y16" s="1267"/>
      <c r="Z16" s="1267"/>
      <c r="AA16" s="1267"/>
      <c r="AB16" s="1972"/>
      <c r="AC16" s="1972"/>
      <c r="AD16" s="1972"/>
      <c r="AF16" s="131"/>
      <c r="AI16" s="78"/>
      <c r="AJ16" s="78"/>
      <c r="AK16" s="78"/>
      <c r="AL16" s="78"/>
      <c r="AM16" s="78"/>
    </row>
    <row r="17" spans="1:39" ht="2.15" customHeight="1">
      <c r="B17" s="1957"/>
      <c r="C17" s="1957"/>
      <c r="D17" s="1957"/>
      <c r="E17" s="1957"/>
      <c r="F17" s="1957"/>
      <c r="G17" s="1957"/>
      <c r="H17" s="1957"/>
      <c r="I17" s="1957"/>
      <c r="J17" s="1957"/>
      <c r="K17" s="1957"/>
      <c r="L17" s="131"/>
      <c r="M17" s="78"/>
      <c r="V17" s="1267"/>
      <c r="W17" s="1267"/>
      <c r="X17" s="1267"/>
      <c r="Y17" s="1267"/>
      <c r="Z17" s="1267"/>
      <c r="AA17" s="1267"/>
      <c r="AB17" s="472"/>
      <c r="AF17" s="131"/>
      <c r="AI17" s="78"/>
      <c r="AJ17" s="78"/>
      <c r="AK17" s="78"/>
      <c r="AL17" s="78"/>
      <c r="AM17" s="78"/>
    </row>
    <row r="18" spans="1:39" ht="10.4" customHeight="1">
      <c r="B18" s="1957"/>
      <c r="C18" s="1957"/>
      <c r="D18" s="1957"/>
      <c r="E18" s="1957"/>
      <c r="F18" s="1957"/>
      <c r="G18" s="1957"/>
      <c r="H18" s="1957"/>
      <c r="I18" s="1957"/>
      <c r="J18" s="1957"/>
      <c r="K18" s="1957"/>
      <c r="L18" s="131"/>
      <c r="M18" s="78"/>
      <c r="V18" s="1268"/>
      <c r="W18" s="1268"/>
      <c r="X18"/>
      <c r="Y18" s="1269"/>
      <c r="Z18" s="1269"/>
      <c r="AA18" s="1269"/>
      <c r="AB18" s="1973"/>
      <c r="AC18" s="1973"/>
      <c r="AD18" s="1973"/>
      <c r="AF18" s="131"/>
      <c r="AI18" s="78"/>
      <c r="AJ18" s="78"/>
      <c r="AK18" s="78"/>
      <c r="AL18" s="78"/>
      <c r="AM18" s="78"/>
    </row>
    <row r="19" spans="1:39" ht="2.15" customHeight="1">
      <c r="B19" s="1957"/>
      <c r="C19" s="1957"/>
      <c r="D19" s="1957"/>
      <c r="E19" s="1957"/>
      <c r="F19" s="1957"/>
      <c r="G19" s="1957"/>
      <c r="H19" s="1957"/>
      <c r="I19" s="1957"/>
      <c r="J19" s="1957"/>
      <c r="K19" s="1957"/>
      <c r="L19" s="131"/>
      <c r="M19" s="78"/>
      <c r="O19" s="11"/>
      <c r="V19"/>
      <c r="W19"/>
      <c r="X19"/>
      <c r="Y19"/>
      <c r="Z19"/>
      <c r="AA19"/>
      <c r="AB19" s="472"/>
      <c r="AF19" s="131"/>
      <c r="AI19" s="78"/>
      <c r="AJ19" s="78"/>
      <c r="AK19" s="78"/>
      <c r="AL19" s="78"/>
      <c r="AM19" s="78"/>
    </row>
    <row r="20" spans="1:39" ht="10.4" customHeight="1">
      <c r="B20" s="1957"/>
      <c r="C20" s="1957"/>
      <c r="D20" s="1957"/>
      <c r="E20" s="1957"/>
      <c r="F20" s="1957"/>
      <c r="G20" s="1957"/>
      <c r="H20" s="1957"/>
      <c r="I20" s="1957"/>
      <c r="J20" s="1957"/>
      <c r="K20" s="1957"/>
      <c r="L20" s="131"/>
      <c r="M20" s="78"/>
      <c r="V20" s="1270"/>
      <c r="W20" s="1270"/>
      <c r="X20"/>
      <c r="Y20" s="1271"/>
      <c r="Z20" s="1271"/>
      <c r="AA20"/>
      <c r="AB20" s="1974"/>
      <c r="AC20" s="1974"/>
      <c r="AD20" s="1974"/>
      <c r="AE20" s="78"/>
      <c r="AF20" s="131"/>
      <c r="AG20" s="78"/>
      <c r="AH20" s="78"/>
      <c r="AI20" s="78"/>
      <c r="AJ20" s="78"/>
      <c r="AK20" s="78"/>
      <c r="AL20" s="78"/>
      <c r="AM20" s="78"/>
    </row>
    <row r="21" spans="1:39" ht="2.15" customHeight="1">
      <c r="B21" s="1957"/>
      <c r="C21" s="1957"/>
      <c r="D21" s="1957"/>
      <c r="E21" s="1957"/>
      <c r="F21" s="1957"/>
      <c r="G21" s="1957"/>
      <c r="H21" s="1957"/>
      <c r="I21" s="1957"/>
      <c r="J21" s="1957"/>
      <c r="K21" s="1957"/>
      <c r="L21" s="131"/>
      <c r="M21" s="78"/>
      <c r="V21" s="11"/>
      <c r="X21" s="78"/>
      <c r="Y21" s="78"/>
      <c r="Z21" s="78"/>
      <c r="AA21" s="78"/>
      <c r="AB21" s="472"/>
      <c r="AE21" s="78"/>
      <c r="AF21" s="131"/>
      <c r="AG21" s="78"/>
      <c r="AH21" s="78"/>
      <c r="AI21" s="78"/>
      <c r="AJ21" s="78"/>
      <c r="AK21" s="78"/>
      <c r="AL21" s="78"/>
      <c r="AM21" s="78"/>
    </row>
    <row r="22" spans="1:39" ht="10.4" customHeight="1">
      <c r="B22" s="1957"/>
      <c r="C22" s="1957"/>
      <c r="D22" s="1957"/>
      <c r="E22" s="1957"/>
      <c r="F22" s="1957"/>
      <c r="G22" s="1957"/>
      <c r="H22" s="1957"/>
      <c r="I22" s="1957"/>
      <c r="J22" s="1957"/>
      <c r="K22" s="1957"/>
      <c r="L22" s="131"/>
      <c r="Q22" s="232"/>
      <c r="R22" s="233"/>
      <c r="S22" s="232"/>
      <c r="T22" s="232"/>
      <c r="X22" s="234"/>
      <c r="Y22" s="234"/>
      <c r="Z22" s="234"/>
      <c r="AA22" s="232"/>
      <c r="AB22" s="1975"/>
      <c r="AC22" s="1975"/>
      <c r="AD22" s="1975"/>
      <c r="AE22" s="232"/>
      <c r="AF22" s="131"/>
      <c r="AG22" s="232"/>
      <c r="AH22" s="232"/>
      <c r="AI22"/>
      <c r="AJ22"/>
      <c r="AK22"/>
      <c r="AL22"/>
      <c r="AM22"/>
    </row>
    <row r="23" spans="1:39" ht="10.4" customHeight="1">
      <c r="B23" s="232"/>
      <c r="C23" s="232"/>
      <c r="D23" s="233"/>
      <c r="E23" s="232"/>
      <c r="H23" s="474"/>
      <c r="I23" s="234"/>
      <c r="J23" s="234"/>
      <c r="K23" s="473"/>
      <c r="L23" s="473"/>
      <c r="Q23" s="232"/>
      <c r="R23" s="233"/>
      <c r="S23" s="232"/>
      <c r="T23" s="232"/>
      <c r="U23" s="1235"/>
      <c r="V23" s="1235"/>
      <c r="W23" s="1235"/>
      <c r="X23" s="1235"/>
      <c r="Y23" s="1235"/>
      <c r="Z23" s="1235"/>
      <c r="AA23" s="1235"/>
      <c r="AB23" s="1235"/>
      <c r="AC23" s="1235"/>
      <c r="AD23" s="1235"/>
      <c r="AE23" s="232"/>
      <c r="AF23" s="232"/>
      <c r="AG23" s="232"/>
      <c r="AH23" s="232"/>
      <c r="AI23"/>
      <c r="AJ23"/>
      <c r="AK23"/>
      <c r="AL23"/>
      <c r="AM23"/>
    </row>
    <row r="24" spans="1:39" ht="10" customHeight="1">
      <c r="B24" s="1956" t="str">
        <f>Text!C$312</f>
        <v>Pre-Check SNBS 2023.1 Hochbau</v>
      </c>
      <c r="C24" s="1956"/>
      <c r="D24" s="1956"/>
      <c r="E24" s="1956"/>
      <c r="F24" s="1956"/>
      <c r="G24" s="1956"/>
      <c r="H24" s="1956"/>
      <c r="I24" s="1956"/>
      <c r="J24" s="1956"/>
      <c r="K24" s="1956"/>
      <c r="M24" s="1957"/>
      <c r="N24" s="1957"/>
      <c r="O24" s="1957"/>
      <c r="Q24" s="1854"/>
      <c r="R24" s="1854"/>
      <c r="S24" s="14"/>
      <c r="T24" s="14"/>
      <c r="U24" s="1956" t="str">
        <f>Text!C$403</f>
        <v>Klima-Check</v>
      </c>
      <c r="V24" s="1956"/>
      <c r="W24" s="1956"/>
      <c r="X24" s="1956"/>
      <c r="Y24" s="1956"/>
      <c r="Z24" s="1956"/>
      <c r="AA24" s="1956"/>
      <c r="AB24" s="1956"/>
      <c r="AC24" s="1956"/>
      <c r="AD24" s="1956"/>
      <c r="AE24" s="1956"/>
      <c r="AF24" s="1956"/>
      <c r="AG24" s="1956"/>
      <c r="AI24"/>
      <c r="AJ24"/>
      <c r="AK24"/>
      <c r="AL24"/>
      <c r="AM24"/>
    </row>
    <row r="25" spans="1:39" ht="15" customHeight="1">
      <c r="B25" s="1956"/>
      <c r="C25" s="1956"/>
      <c r="D25" s="1956"/>
      <c r="E25" s="1956"/>
      <c r="F25" s="1956"/>
      <c r="G25" s="1956"/>
      <c r="H25" s="1956"/>
      <c r="I25" s="1956"/>
      <c r="J25" s="1956"/>
      <c r="K25" s="1956"/>
      <c r="M25" s="1957"/>
      <c r="N25" s="1957"/>
      <c r="O25" s="1957"/>
      <c r="Q25" s="1854"/>
      <c r="R25" s="1854"/>
      <c r="U25" s="1956"/>
      <c r="V25" s="1956"/>
      <c r="W25" s="1956"/>
      <c r="X25" s="1956"/>
      <c r="Y25" s="1956"/>
      <c r="Z25" s="1956"/>
      <c r="AA25" s="1956"/>
      <c r="AB25" s="1956"/>
      <c r="AC25" s="1956"/>
      <c r="AD25" s="1956"/>
      <c r="AE25" s="1956"/>
      <c r="AF25" s="1956"/>
      <c r="AG25" s="1956"/>
    </row>
    <row r="26" spans="1:39" ht="7" customHeight="1">
      <c r="B26" s="1956"/>
      <c r="C26" s="1956"/>
      <c r="D26" s="1956"/>
      <c r="E26" s="1956"/>
      <c r="F26" s="1956"/>
      <c r="G26" s="1956"/>
      <c r="H26" s="1956"/>
      <c r="I26" s="1956"/>
      <c r="J26" s="1956"/>
      <c r="K26" s="1956"/>
      <c r="M26" s="1957"/>
      <c r="N26" s="1957"/>
      <c r="O26" s="1957"/>
      <c r="Q26" s="1854"/>
      <c r="R26" s="1854"/>
      <c r="U26" s="1956"/>
      <c r="V26" s="1956"/>
      <c r="W26" s="1956"/>
      <c r="X26" s="1956"/>
      <c r="Y26" s="1956"/>
      <c r="Z26" s="1956"/>
      <c r="AA26" s="1956"/>
      <c r="AB26" s="1956"/>
      <c r="AC26" s="1956"/>
      <c r="AD26" s="1956"/>
      <c r="AE26" s="1956"/>
      <c r="AF26" s="1956"/>
      <c r="AG26" s="1956"/>
    </row>
    <row r="27" spans="1:39" ht="30" customHeight="1">
      <c r="B27" s="1749" t="str">
        <f>Text!AK$23</f>
        <v>Gesellschaft</v>
      </c>
      <c r="C27" s="1749"/>
      <c r="D27" s="1749"/>
      <c r="E27" s="1749"/>
      <c r="F27" s="1250"/>
      <c r="G27" s="2006" t="str">
        <f>Text!C$568</f>
        <v>Im Bereich ''Gesellschaft'' wird ein Erfüllungsgrad von 0% erzielt</v>
      </c>
      <c r="H27" s="2006"/>
      <c r="I27" s="2006"/>
      <c r="J27" s="2006"/>
      <c r="K27" s="2006"/>
      <c r="L27" s="1304"/>
      <c r="M27" s="1745"/>
      <c r="N27" s="1745"/>
      <c r="O27" s="1745"/>
      <c r="Q27" s="1854"/>
      <c r="R27" s="1854"/>
      <c r="S27" s="14"/>
      <c r="T27" s="14"/>
      <c r="U27" s="2006" t="str">
        <f>Text!C$571</f>
        <v>Im Bereich ''Gesellschaft'' wird ein Erfüllungsgrad von 0% erzielt</v>
      </c>
      <c r="V27" s="2006"/>
      <c r="W27" s="2006"/>
      <c r="X27" s="2006"/>
      <c r="Y27" s="2006"/>
      <c r="Z27" s="2006"/>
      <c r="AA27" s="1250"/>
      <c r="AB27" s="1749" t="str">
        <f>Text!AK$23</f>
        <v>Gesellschaft</v>
      </c>
      <c r="AC27" s="1749"/>
      <c r="AD27" s="1749"/>
      <c r="AE27" s="1749"/>
      <c r="AF27" s="1749"/>
      <c r="AG27" s="1749"/>
      <c r="AI27"/>
      <c r="AJ27"/>
      <c r="AK27"/>
      <c r="AL27"/>
      <c r="AM27"/>
    </row>
    <row r="28" spans="1:39" s="4" customFormat="1" ht="2.15" customHeight="1">
      <c r="C28" s="21"/>
      <c r="D28" s="125"/>
      <c r="E28" s="125"/>
      <c r="F28" s="125"/>
      <c r="G28" s="1445"/>
      <c r="H28" s="1445"/>
      <c r="I28" s="1445"/>
      <c r="J28" s="1445"/>
      <c r="K28" s="1445"/>
      <c r="L28" s="993"/>
      <c r="M28" s="993"/>
      <c r="N28" s="993"/>
      <c r="O28" s="993"/>
      <c r="P28" s="125"/>
      <c r="Q28" s="125"/>
      <c r="R28" s="125"/>
      <c r="S28" s="125"/>
      <c r="T28" s="125"/>
      <c r="U28" s="1445"/>
      <c r="V28" s="1445"/>
      <c r="W28" s="1445"/>
      <c r="X28" s="1445"/>
      <c r="Y28" s="1445"/>
      <c r="Z28" s="1445"/>
      <c r="AA28" s="125"/>
      <c r="AB28" s="125"/>
      <c r="AC28" s="125"/>
      <c r="AD28" s="125"/>
      <c r="AE28" s="125"/>
      <c r="AF28" s="125"/>
      <c r="AG28" s="125"/>
      <c r="AH28" s="125"/>
      <c r="AI28" s="125"/>
      <c r="AJ28" s="125"/>
      <c r="AK28" s="125"/>
      <c r="AL28" s="125"/>
    </row>
    <row r="29" spans="1:39" s="240" customFormat="1" ht="30" customHeight="1">
      <c r="A29" s="1"/>
      <c r="B29" s="1853" t="str">
        <f>Text!$AK$38</f>
        <v>Wirtschaft</v>
      </c>
      <c r="C29" s="1853"/>
      <c r="D29" s="1853"/>
      <c r="E29" s="1853"/>
      <c r="F29" s="1252"/>
      <c r="G29" s="2007" t="str">
        <f>Text!C$569</f>
        <v>Im Bereich ''Wirtschaft'' wird ein Erfüllungsgrad von 0% erzielt</v>
      </c>
      <c r="H29" s="2007"/>
      <c r="I29" s="2007"/>
      <c r="J29" s="2007"/>
      <c r="K29" s="2007"/>
      <c r="L29" s="1304"/>
      <c r="M29" s="1745"/>
      <c r="N29" s="1745"/>
      <c r="O29" s="1745"/>
      <c r="P29" s="1"/>
      <c r="Q29" s="1854"/>
      <c r="R29" s="1854"/>
      <c r="S29" s="14"/>
      <c r="T29" s="14"/>
      <c r="U29" s="2007" t="str">
        <f>Text!C$572</f>
        <v>Im Bereich ''Wirtschaft'' wird ein Erfüllungsgrad von 0% erzielt</v>
      </c>
      <c r="V29" s="2007"/>
      <c r="W29" s="2007"/>
      <c r="X29" s="2007"/>
      <c r="Y29" s="2007"/>
      <c r="Z29" s="2007"/>
      <c r="AA29" s="1252"/>
      <c r="AB29" s="1853" t="str">
        <f>Text!$AK$38</f>
        <v>Wirtschaft</v>
      </c>
      <c r="AC29" s="1853"/>
      <c r="AD29" s="1853"/>
      <c r="AE29" s="1853"/>
      <c r="AF29" s="1853"/>
      <c r="AG29" s="1853"/>
      <c r="AH29" s="235"/>
      <c r="AI29" s="241"/>
    </row>
    <row r="30" spans="1:39" customFormat="1" ht="2.15" customHeight="1">
      <c r="B30" s="1272"/>
      <c r="C30" s="1272"/>
      <c r="D30" s="1272"/>
      <c r="E30" s="1272"/>
      <c r="F30" s="1273"/>
      <c r="G30" s="1447"/>
      <c r="H30" s="1447"/>
      <c r="I30" s="1447"/>
      <c r="J30" s="1447"/>
      <c r="K30" s="1447"/>
      <c r="M30" s="238"/>
      <c r="N30" s="238"/>
      <c r="O30" s="238"/>
      <c r="Q30" s="1275"/>
      <c r="R30" s="1275"/>
      <c r="S30" s="219"/>
      <c r="T30" s="219"/>
      <c r="U30" s="1446"/>
      <c r="V30" s="1446"/>
      <c r="W30" s="1446"/>
      <c r="X30" s="1446"/>
      <c r="Y30" s="1446"/>
      <c r="Z30" s="1446"/>
      <c r="AA30" s="1273"/>
      <c r="AB30" s="1272"/>
      <c r="AC30" s="1272"/>
      <c r="AD30" s="1272"/>
      <c r="AE30" s="1272"/>
      <c r="AF30" s="1272"/>
      <c r="AG30" s="1276"/>
    </row>
    <row r="31" spans="1:39" ht="30" customHeight="1">
      <c r="B31" s="1891" t="str">
        <f>Text!$AK$46</f>
        <v>Umwelt</v>
      </c>
      <c r="C31" s="1891"/>
      <c r="D31" s="1891"/>
      <c r="E31" s="1891"/>
      <c r="F31" s="1249"/>
      <c r="G31" s="2003" t="str">
        <f>Text!C$570</f>
        <v>Im Bereich ''Umwelt'' wird ein Erfüllungsgrad von 0% erzielt</v>
      </c>
      <c r="H31" s="2003"/>
      <c r="I31" s="2003"/>
      <c r="J31" s="2003"/>
      <c r="K31" s="2003"/>
      <c r="L31" s="1304"/>
      <c r="M31" s="1745"/>
      <c r="N31" s="1745"/>
      <c r="O31" s="1745"/>
      <c r="Q31" s="1854"/>
      <c r="R31" s="1854"/>
      <c r="S31" s="14"/>
      <c r="T31" s="14"/>
      <c r="U31" s="2003" t="str">
        <f>Text!C$573</f>
        <v>Im Bereich ''Umwelt'' wird ein Erfüllungsgrad von 0% erzielt</v>
      </c>
      <c r="V31" s="2003"/>
      <c r="W31" s="2003"/>
      <c r="X31" s="2003"/>
      <c r="Y31" s="2003"/>
      <c r="Z31" s="2003"/>
      <c r="AA31" s="1249"/>
      <c r="AB31" s="1891" t="str">
        <f>Text!$AK$46</f>
        <v>Umwelt</v>
      </c>
      <c r="AC31" s="1891"/>
      <c r="AD31" s="1891"/>
      <c r="AE31" s="1891"/>
      <c r="AF31" s="1891"/>
      <c r="AG31" s="1891"/>
    </row>
    <row r="32" spans="1:39" customFormat="1" ht="2.15" customHeight="1">
      <c r="B32" s="1272"/>
      <c r="C32" s="1272"/>
      <c r="D32" s="1272"/>
      <c r="E32" s="1272"/>
      <c r="F32" s="1273"/>
      <c r="G32" s="1447"/>
      <c r="H32" s="1447"/>
      <c r="I32" s="1447"/>
      <c r="J32" s="1447"/>
      <c r="K32" s="1447"/>
      <c r="M32" s="238"/>
      <c r="N32" s="238"/>
      <c r="O32" s="238"/>
      <c r="Q32" s="1275"/>
      <c r="R32" s="1275"/>
      <c r="S32" s="219"/>
      <c r="T32" s="219"/>
      <c r="U32" s="1446"/>
      <c r="V32" s="1446"/>
      <c r="W32" s="1446"/>
      <c r="X32" s="1446"/>
      <c r="Y32" s="1446"/>
      <c r="Z32" s="1446"/>
      <c r="AA32" s="1273"/>
      <c r="AB32" s="1272"/>
      <c r="AC32" s="1272"/>
      <c r="AD32" s="1272"/>
      <c r="AE32" s="1272"/>
      <c r="AF32" s="1272"/>
      <c r="AG32" s="1276"/>
    </row>
    <row r="33" spans="1:38" ht="31" customHeight="1">
      <c r="B33" s="1893" t="str">
        <f>Text!$C$590</f>
        <v>Gesamtnote</v>
      </c>
      <c r="C33" s="1893"/>
      <c r="D33" s="1893"/>
      <c r="E33" s="1893"/>
      <c r="F33" s="1277"/>
      <c r="G33" s="2005" t="str">
        <f>Text!C$578</f>
        <v>Das Projekt wurde als 0 % nachhaltig beim Pre-Check bewertet</v>
      </c>
      <c r="H33" s="2005"/>
      <c r="I33" s="2005"/>
      <c r="J33" s="2005"/>
      <c r="K33" s="2005"/>
      <c r="L33" s="1304"/>
      <c r="Q33" s="1854"/>
      <c r="R33" s="1854"/>
      <c r="S33" s="14"/>
      <c r="T33" s="14"/>
      <c r="U33" s="2005" t="str">
        <f>Text!C$579</f>
        <v>Das Projekt wurde als 0 % nachhaltig beim Klima-Check bewertet</v>
      </c>
      <c r="V33" s="2005"/>
      <c r="W33" s="2005"/>
      <c r="X33" s="2005"/>
      <c r="Y33" s="2005"/>
      <c r="Z33" s="2005"/>
      <c r="AA33" s="1277"/>
      <c r="AB33" s="1893" t="str">
        <f>Text!$C$590</f>
        <v>Gesamtnote</v>
      </c>
      <c r="AC33" s="1893"/>
      <c r="AD33" s="1893"/>
      <c r="AE33" s="1893"/>
      <c r="AF33" s="1893"/>
      <c r="AG33" s="1893"/>
    </row>
    <row r="34" spans="1:38" customFormat="1" ht="10" customHeight="1">
      <c r="B34" s="1272"/>
      <c r="C34" s="1272"/>
      <c r="D34" s="1272"/>
      <c r="E34" s="1272"/>
      <c r="F34" s="1273"/>
      <c r="G34" s="1274"/>
      <c r="H34" s="1274"/>
      <c r="I34" s="1274"/>
      <c r="J34" s="1274"/>
      <c r="K34" s="1274"/>
      <c r="M34" s="238"/>
      <c r="N34" s="238"/>
      <c r="O34" s="238"/>
      <c r="Q34" s="1275"/>
      <c r="R34" s="1275"/>
      <c r="S34" s="219"/>
      <c r="T34" s="219"/>
      <c r="U34" s="1274"/>
      <c r="V34" s="1274"/>
      <c r="W34" s="1274"/>
      <c r="X34" s="1274"/>
      <c r="Y34" s="1274"/>
      <c r="Z34" s="1274"/>
      <c r="AA34" s="1273"/>
      <c r="AB34" s="1272"/>
      <c r="AC34" s="1272"/>
      <c r="AD34" s="1272"/>
      <c r="AE34" s="1272"/>
      <c r="AF34" s="1272"/>
      <c r="AG34" s="1276"/>
    </row>
    <row r="35" spans="1:38" s="244" customFormat="1" ht="37.5" customHeight="1">
      <c r="A35" s="44"/>
      <c r="B35" s="44"/>
      <c r="C35" s="44"/>
      <c r="D35" s="1253" t="str">
        <f>Text!C$585</f>
        <v>Anmerkungen:</v>
      </c>
      <c r="E35" s="1253"/>
      <c r="F35" s="1253"/>
      <c r="G35" s="1253"/>
      <c r="H35" s="1253"/>
      <c r="I35" s="1253"/>
      <c r="J35" s="1253"/>
      <c r="K35" s="1253"/>
      <c r="L35" s="1253"/>
      <c r="M35" s="1253"/>
      <c r="N35" s="1253"/>
      <c r="O35" s="1784"/>
      <c r="P35" s="1784"/>
      <c r="Q35" s="1784"/>
      <c r="R35" s="1784"/>
      <c r="S35" s="1784"/>
      <c r="T35" s="1784"/>
      <c r="U35" s="1784"/>
      <c r="V35" s="1784"/>
      <c r="W35" s="1784"/>
      <c r="X35" s="1784"/>
      <c r="Y35" s="1784"/>
      <c r="Z35" s="1784"/>
      <c r="AA35" s="1784"/>
      <c r="AB35" s="1784"/>
      <c r="AC35" s="1784"/>
      <c r="AD35" s="1784"/>
      <c r="AE35" s="1784"/>
      <c r="AF35" s="1784"/>
      <c r="AG35" s="159"/>
      <c r="AH35" s="1254"/>
      <c r="AI35" s="1254"/>
      <c r="AJ35" s="1254"/>
      <c r="AK35" s="1254"/>
      <c r="AL35" s="1254"/>
    </row>
    <row r="36" spans="1:38" s="244" customFormat="1" ht="20.149999999999999" customHeight="1">
      <c r="A36" s="44"/>
      <c r="B36" s="44"/>
      <c r="C36" s="44"/>
      <c r="D36" s="476"/>
      <c r="E36" s="476"/>
      <c r="F36" s="476"/>
      <c r="G36" s="476"/>
      <c r="H36" s="476"/>
      <c r="I36" s="476"/>
      <c r="J36" s="476"/>
      <c r="K36" s="476"/>
      <c r="L36" s="476"/>
      <c r="M36" s="476"/>
      <c r="N36" s="48"/>
      <c r="AG36" s="1254"/>
      <c r="AH36" s="1254"/>
      <c r="AI36" s="1254"/>
      <c r="AJ36" s="1254"/>
      <c r="AK36" s="1254"/>
      <c r="AL36" s="1254"/>
    </row>
    <row r="37" spans="1:38" ht="14.5" customHeight="1">
      <c r="D37" s="476"/>
      <c r="E37" s="476"/>
      <c r="F37" s="476"/>
      <c r="G37" s="476"/>
      <c r="H37" s="476"/>
      <c r="I37" s="476"/>
      <c r="J37" s="476"/>
      <c r="K37" s="476"/>
      <c r="L37" s="476"/>
      <c r="M37" s="476"/>
      <c r="O37" s="1788" t="str">
        <f>Text!$C$586&amp;" "&amp;Text!$C$587&amp;"https://www.nnbs.ch/instrumente-und-hilfsmittel"</f>
        <v>Eine Erklärung zum Bewertungsmechanismus im Pre-Check findet sich in der Einleitung. Sie können über das Popup-Menü im Fensterreiter dorthin gelangen. Weitere Details zur SNBS-Bewertung finden sich im offiziellen Kriterienkatalog: https://www.nnbs.ch/instrumente-und-hilfsmittel</v>
      </c>
      <c r="P37" s="1788"/>
      <c r="Q37" s="1788"/>
      <c r="R37" s="1788"/>
      <c r="S37" s="1788"/>
      <c r="T37" s="1788"/>
      <c r="U37" s="1788"/>
      <c r="V37" s="1788"/>
      <c r="W37" s="1788"/>
      <c r="X37" s="1788"/>
      <c r="Y37" s="1788"/>
      <c r="Z37" s="1788"/>
      <c r="AA37" s="1788"/>
      <c r="AB37" s="1788"/>
      <c r="AC37" s="1788"/>
      <c r="AD37" s="1788"/>
      <c r="AE37" s="1788"/>
      <c r="AF37" s="1788"/>
      <c r="AG37" s="1254"/>
      <c r="AH37" s="1254"/>
      <c r="AI37" s="1254"/>
      <c r="AJ37" s="1254"/>
      <c r="AK37" s="1254"/>
      <c r="AL37" s="1254"/>
    </row>
    <row r="38" spans="1:38">
      <c r="D38" s="476"/>
      <c r="E38" s="476"/>
      <c r="F38" s="476"/>
      <c r="G38" s="476"/>
      <c r="H38" s="476"/>
      <c r="I38" s="476"/>
      <c r="J38" s="476"/>
      <c r="K38" s="476"/>
      <c r="L38" s="476"/>
      <c r="M38" s="476"/>
      <c r="O38" s="1788"/>
      <c r="P38" s="1788"/>
      <c r="Q38" s="1788"/>
      <c r="R38" s="1788"/>
      <c r="S38" s="1788"/>
      <c r="T38" s="1788"/>
      <c r="U38" s="1788"/>
      <c r="V38" s="1788"/>
      <c r="W38" s="1788"/>
      <c r="X38" s="1788"/>
      <c r="Y38" s="1788"/>
      <c r="Z38" s="1788"/>
      <c r="AA38" s="1788"/>
      <c r="AB38" s="1788"/>
      <c r="AC38" s="1788"/>
      <c r="AD38" s="1788"/>
      <c r="AE38" s="1788"/>
      <c r="AF38" s="1788"/>
    </row>
    <row r="39" spans="1:38">
      <c r="D39" s="476"/>
      <c r="E39" s="476"/>
      <c r="F39" s="476"/>
      <c r="G39" s="476"/>
      <c r="H39" s="476"/>
      <c r="I39" s="476"/>
      <c r="J39" s="476"/>
      <c r="K39" s="476"/>
      <c r="L39" s="476"/>
      <c r="M39" s="476"/>
      <c r="AA39" s="1"/>
    </row>
    <row r="40" spans="1:38" ht="14.5" customHeight="1">
      <c r="D40" s="476"/>
      <c r="E40" s="476"/>
      <c r="F40" s="476"/>
      <c r="G40" s="476"/>
      <c r="H40" s="476"/>
      <c r="I40" s="476"/>
      <c r="J40" s="476"/>
      <c r="K40" s="476"/>
      <c r="L40" s="476"/>
      <c r="M40" s="476"/>
      <c r="O40" s="1728" t="str">
        <f>Text!$C$574</f>
        <v>Bei Erneuerungen dürften im Rahmen einer SNBS-Zertifizierung folgende Kriterien eine ungenügende Bewertung aufweisen, solange die Durchschnittsbenotung im übergeordneten Thema genügend bleibt:</v>
      </c>
      <c r="P40" s="1728"/>
      <c r="Q40" s="1728"/>
      <c r="R40" s="1728"/>
      <c r="S40" s="1728"/>
      <c r="T40" s="1728"/>
      <c r="U40" s="1728"/>
      <c r="V40" s="1728"/>
      <c r="W40" s="1728"/>
      <c r="X40" s="1728"/>
      <c r="Y40" s="1728"/>
      <c r="Z40" s="1728"/>
      <c r="AA40" s="1728"/>
      <c r="AB40" s="1728"/>
      <c r="AC40" s="1728"/>
      <c r="AD40" s="1728"/>
      <c r="AE40" s="1728"/>
      <c r="AF40" s="1728"/>
    </row>
    <row r="41" spans="1:38" ht="15" thickBot="1">
      <c r="D41" s="476"/>
      <c r="E41" s="476"/>
      <c r="F41" s="476"/>
      <c r="G41" s="476"/>
      <c r="H41" s="476"/>
      <c r="I41" s="476"/>
      <c r="J41" s="476"/>
      <c r="K41" s="476"/>
      <c r="L41" s="476"/>
      <c r="M41" s="476"/>
      <c r="O41" s="1728"/>
      <c r="P41" s="1728"/>
      <c r="Q41" s="1728"/>
      <c r="R41" s="1728"/>
      <c r="S41" s="1728"/>
      <c r="T41" s="1728"/>
      <c r="U41" s="1728"/>
      <c r="V41" s="1728"/>
      <c r="W41" s="1728"/>
      <c r="X41" s="1728"/>
      <c r="Y41" s="1728"/>
      <c r="Z41" s="1728"/>
      <c r="AA41" s="1728"/>
      <c r="AB41" s="1728"/>
      <c r="AC41" s="1728"/>
      <c r="AD41" s="1728"/>
      <c r="AE41" s="1728"/>
      <c r="AF41" s="1728"/>
    </row>
    <row r="42" spans="1:38" ht="15" thickBot="1">
      <c r="D42" s="476"/>
      <c r="E42" s="476"/>
      <c r="F42" s="476"/>
      <c r="G42" s="476"/>
      <c r="H42" s="476"/>
      <c r="I42" s="476"/>
      <c r="J42" s="476"/>
      <c r="K42" s="476"/>
      <c r="L42" s="476"/>
      <c r="M42" s="476"/>
      <c r="O42" s="1962" t="str">
        <f>Text!$AQ$34&amp;" "&amp;Text!$AR$34</f>
        <v>145 Winterlicher Wärmeschutz</v>
      </c>
      <c r="P42" s="1962"/>
      <c r="Q42" s="1266"/>
      <c r="R42" s="1963" t="str">
        <f>Text!$AQ$42&amp;" "&amp;Text!$AR$42</f>
        <v>222 Nutzungsdichte</v>
      </c>
      <c r="S42" s="1964"/>
      <c r="T42" s="1964"/>
      <c r="U42" s="1965"/>
      <c r="AA42" s="1"/>
    </row>
    <row r="43" spans="1:38" ht="14.5" customHeight="1" thickBot="1">
      <c r="D43" s="476"/>
      <c r="E43" s="476"/>
      <c r="F43" s="476"/>
      <c r="G43" s="476"/>
      <c r="H43" s="476"/>
      <c r="I43" s="476"/>
      <c r="J43" s="476"/>
      <c r="K43" s="476"/>
      <c r="L43" s="476"/>
      <c r="M43" s="476"/>
      <c r="O43" s="1966" t="str">
        <f>Text!$AQ$36&amp;" "&amp;Text!$AR$36</f>
        <v>147 Schallschutz</v>
      </c>
      <c r="P43" s="1967"/>
      <c r="Q43" s="1266"/>
      <c r="R43" s="1963" t="str">
        <f>Text!$AQ$43&amp;" "&amp;Text!$AR$43</f>
        <v>223 Nutzungsflexibilität &amp; -variabilität</v>
      </c>
      <c r="S43" s="1964"/>
      <c r="T43" s="1964"/>
      <c r="U43" s="1965"/>
      <c r="AA43" s="1"/>
    </row>
    <row r="44" spans="1:38">
      <c r="D44" s="476"/>
      <c r="E44" s="476"/>
      <c r="F44" s="476"/>
      <c r="G44" s="476"/>
      <c r="H44" s="476"/>
      <c r="I44" s="476"/>
      <c r="J44" s="476"/>
      <c r="K44" s="476"/>
      <c r="L44" s="476"/>
      <c r="M44" s="476"/>
      <c r="AA44" s="1"/>
    </row>
    <row r="45" spans="1:38">
      <c r="D45" s="476"/>
      <c r="E45" s="476"/>
      <c r="F45" s="476"/>
      <c r="G45" s="476"/>
      <c r="H45" s="476"/>
      <c r="I45" s="476"/>
      <c r="J45" s="476"/>
      <c r="K45" s="476"/>
      <c r="L45" s="476"/>
      <c r="M45" s="476"/>
      <c r="O45" s="1788" t="str">
        <f>Text!$C$588</f>
        <v>Wir danken Ihnen für die Benutzung des Pre-Checks 2023.1 Hochbau und hoffen, Sie bei der Realisierung eines rundum nachhaltigen Projekts unterstützen zu können.
Um Rückmeldungen und Hinweise zur Verbesserung des Pre-Check (info@nnbs.ch) sind wir stets dankbar.</v>
      </c>
      <c r="P45" s="1788"/>
      <c r="Q45" s="1788"/>
      <c r="R45" s="1788"/>
      <c r="S45" s="1788"/>
      <c r="T45" s="1788"/>
      <c r="U45" s="1788"/>
      <c r="V45" s="1788"/>
      <c r="W45" s="1788"/>
      <c r="X45" s="1788"/>
      <c r="Y45" s="1788"/>
      <c r="Z45" s="1788"/>
      <c r="AA45" s="1788"/>
      <c r="AB45" s="1788"/>
      <c r="AC45" s="1788"/>
      <c r="AD45" s="1788"/>
      <c r="AE45" s="1788"/>
      <c r="AF45" s="1788"/>
    </row>
    <row r="46" spans="1:38">
      <c r="D46" s="476"/>
      <c r="E46" s="476"/>
      <c r="F46" s="476"/>
      <c r="G46" s="476"/>
      <c r="H46" s="476"/>
      <c r="I46" s="476"/>
      <c r="J46" s="476"/>
      <c r="K46" s="476"/>
      <c r="L46" s="476"/>
      <c r="M46" s="476"/>
      <c r="O46" s="1788"/>
      <c r="P46" s="1788"/>
      <c r="Q46" s="1788"/>
      <c r="R46" s="1788"/>
      <c r="S46" s="1788"/>
      <c r="T46" s="1788"/>
      <c r="U46" s="1788"/>
      <c r="V46" s="1788"/>
      <c r="W46" s="1788"/>
      <c r="X46" s="1788"/>
      <c r="Y46" s="1788"/>
      <c r="Z46" s="1788"/>
      <c r="AA46" s="1788"/>
      <c r="AB46" s="1788"/>
      <c r="AC46" s="1788"/>
      <c r="AD46" s="1788"/>
      <c r="AE46" s="1788"/>
      <c r="AF46" s="1788"/>
    </row>
    <row r="47" spans="1:38">
      <c r="D47" s="476"/>
      <c r="E47" s="476"/>
      <c r="F47" s="476"/>
      <c r="G47" s="476"/>
      <c r="H47" s="476"/>
      <c r="I47" s="476"/>
      <c r="J47" s="476"/>
      <c r="K47" s="476"/>
      <c r="L47" s="476"/>
      <c r="M47" s="476"/>
      <c r="O47" s="1788"/>
      <c r="P47" s="1788"/>
      <c r="Q47" s="1788"/>
      <c r="R47" s="1788"/>
      <c r="S47" s="1788"/>
      <c r="T47" s="1788"/>
      <c r="U47" s="1788"/>
      <c r="V47" s="1788"/>
      <c r="W47" s="1788"/>
      <c r="X47" s="1788"/>
      <c r="Y47" s="1788"/>
      <c r="Z47" s="1788"/>
      <c r="AA47" s="1788"/>
      <c r="AB47" s="1788"/>
      <c r="AC47" s="1788"/>
      <c r="AD47" s="1788"/>
      <c r="AE47" s="1788"/>
      <c r="AF47" s="1788"/>
    </row>
    <row r="48" spans="1:38">
      <c r="D48" s="476"/>
      <c r="E48" s="476"/>
      <c r="F48" s="476"/>
      <c r="G48" s="476"/>
      <c r="H48" s="476"/>
      <c r="I48" s="476"/>
      <c r="J48" s="476"/>
      <c r="K48" s="476"/>
      <c r="L48" s="476"/>
      <c r="M48" s="476"/>
    </row>
    <row r="49" spans="4:32" ht="14.5" customHeight="1">
      <c r="D49" s="476"/>
      <c r="E49" s="476"/>
      <c r="F49" s="476"/>
      <c r="G49" s="476"/>
      <c r="H49" s="476"/>
      <c r="I49" s="476"/>
      <c r="J49" s="476"/>
      <c r="K49" s="476"/>
      <c r="L49" s="476"/>
      <c r="M49" s="476"/>
      <c r="O49" s="1784" t="str">
        <f>Text!$C$589</f>
        <v>Der Pre-Check liefert nur eine Abschätzung des Nachhaltigkeitsgrads eines Bauvorhabens und garantiert keine Zertifizierung des untersuchten Objekts. Im Einzelfall kann trotz gesamtheitlich gutem Pre-Check-Ergebnis eine Zertifizierung nicht möglich werden.
Es ist Benutzenden ausdrücklich untersagt, Ergebnisse aus dem Pre-Check für Werbezwecke (etwa in Verkaufsinformationen) zu verwenden.</v>
      </c>
      <c r="P49" s="1784"/>
      <c r="Q49" s="1784"/>
      <c r="R49" s="1784"/>
      <c r="S49" s="1784"/>
      <c r="T49" s="1784"/>
      <c r="U49" s="1784"/>
      <c r="V49" s="1784"/>
      <c r="W49" s="1784"/>
      <c r="X49" s="1784"/>
      <c r="Y49" s="1784"/>
      <c r="Z49" s="1784"/>
      <c r="AA49" s="1784"/>
      <c r="AB49" s="1784"/>
      <c r="AC49" s="1784"/>
      <c r="AD49" s="1784"/>
      <c r="AE49" s="1784"/>
      <c r="AF49" s="1784"/>
    </row>
    <row r="50" spans="4:32">
      <c r="D50" s="476"/>
      <c r="E50" s="476"/>
      <c r="F50" s="476"/>
      <c r="G50" s="476"/>
      <c r="H50" s="476"/>
      <c r="I50" s="476"/>
      <c r="J50" s="476"/>
      <c r="K50" s="476"/>
      <c r="L50" s="476"/>
      <c r="M50" s="476"/>
      <c r="O50" s="1784"/>
      <c r="P50" s="1784"/>
      <c r="Q50" s="1784"/>
      <c r="R50" s="1784"/>
      <c r="S50" s="1784"/>
      <c r="T50" s="1784"/>
      <c r="U50" s="1784"/>
      <c r="V50" s="1784"/>
      <c r="W50" s="1784"/>
      <c r="X50" s="1784"/>
      <c r="Y50" s="1784"/>
      <c r="Z50" s="1784"/>
      <c r="AA50" s="1784"/>
      <c r="AB50" s="1784"/>
      <c r="AC50" s="1784"/>
      <c r="AD50" s="1784"/>
      <c r="AE50" s="1784"/>
      <c r="AF50" s="1784"/>
    </row>
    <row r="51" spans="4:32">
      <c r="D51" s="476"/>
      <c r="E51" s="476"/>
      <c r="F51" s="476"/>
      <c r="G51" s="476"/>
      <c r="H51" s="476"/>
      <c r="I51" s="476"/>
      <c r="J51" s="476"/>
      <c r="K51" s="476"/>
      <c r="L51" s="476"/>
      <c r="M51" s="476"/>
      <c r="O51" s="1784"/>
      <c r="P51" s="1784"/>
      <c r="Q51" s="1784"/>
      <c r="R51" s="1784"/>
      <c r="S51" s="1784"/>
      <c r="T51" s="1784"/>
      <c r="U51" s="1784"/>
      <c r="V51" s="1784"/>
      <c r="W51" s="1784"/>
      <c r="X51" s="1784"/>
      <c r="Y51" s="1784"/>
      <c r="Z51" s="1784"/>
      <c r="AA51" s="1784"/>
      <c r="AB51" s="1784"/>
      <c r="AC51" s="1784"/>
      <c r="AD51" s="1784"/>
      <c r="AE51" s="1784"/>
      <c r="AF51" s="1784"/>
    </row>
    <row r="52" spans="4:32">
      <c r="D52" s="476"/>
      <c r="E52" s="476"/>
      <c r="F52" s="476"/>
      <c r="G52" s="476"/>
      <c r="H52" s="476"/>
      <c r="I52" s="476"/>
      <c r="J52" s="476"/>
      <c r="K52" s="476"/>
      <c r="L52" s="476"/>
      <c r="M52" s="476"/>
      <c r="O52" s="1784"/>
      <c r="P52" s="1784"/>
      <c r="Q52" s="1784"/>
      <c r="R52" s="1784"/>
      <c r="S52" s="1784"/>
      <c r="T52" s="1784"/>
      <c r="U52" s="1784"/>
      <c r="V52" s="1784"/>
      <c r="W52" s="1784"/>
      <c r="X52" s="1784"/>
      <c r="Y52" s="1784"/>
      <c r="Z52" s="1784"/>
      <c r="AA52" s="1784"/>
      <c r="AB52" s="1784"/>
      <c r="AC52" s="1784"/>
      <c r="AD52" s="1784"/>
      <c r="AE52" s="1784"/>
      <c r="AF52" s="1784"/>
    </row>
    <row r="53" spans="4:32">
      <c r="D53" s="48"/>
      <c r="E53" s="48"/>
      <c r="F53" s="48"/>
      <c r="G53" s="48"/>
      <c r="H53" s="48"/>
      <c r="I53" s="48"/>
      <c r="J53" s="48"/>
      <c r="K53" s="48"/>
      <c r="L53" s="48"/>
      <c r="M53" s="48"/>
      <c r="O53" s="1248"/>
      <c r="P53" s="1248"/>
      <c r="Q53" s="1248"/>
      <c r="R53" s="1248"/>
      <c r="S53" s="1248"/>
      <c r="T53" s="1248"/>
      <c r="U53" s="1248"/>
      <c r="V53" s="1248"/>
      <c r="W53" s="1248"/>
      <c r="X53" s="1248"/>
      <c r="Y53" s="1248"/>
      <c r="Z53" s="1248"/>
      <c r="AA53" s="1248"/>
      <c r="AB53" s="1248"/>
      <c r="AC53" s="1248"/>
      <c r="AD53" s="1248"/>
      <c r="AE53" s="1248"/>
      <c r="AF53" s="1248"/>
    </row>
    <row r="54" spans="4:32">
      <c r="D54" s="48"/>
      <c r="E54" s="48"/>
      <c r="F54" s="48"/>
      <c r="G54" s="48"/>
      <c r="H54" s="48"/>
      <c r="I54" s="48"/>
      <c r="J54" s="48"/>
      <c r="K54" s="48"/>
      <c r="L54" s="48"/>
      <c r="M54" s="48"/>
      <c r="O54" s="1248"/>
      <c r="P54" s="1248"/>
      <c r="Q54" s="1248"/>
      <c r="R54" s="1248"/>
      <c r="S54" s="1248"/>
      <c r="T54" s="1248"/>
      <c r="U54" s="1248"/>
      <c r="V54" s="1248"/>
      <c r="W54" s="1248"/>
      <c r="X54" s="1248"/>
      <c r="Y54" s="1248"/>
      <c r="Z54" s="1248"/>
      <c r="AA54" s="1248"/>
      <c r="AB54" s="1248"/>
      <c r="AC54" s="1248"/>
      <c r="AD54" s="1248"/>
      <c r="AE54" s="1248"/>
      <c r="AF54" s="1248"/>
    </row>
    <row r="55" spans="4:32">
      <c r="D55" s="48"/>
      <c r="E55" s="48"/>
      <c r="F55" s="48"/>
      <c r="G55" s="48"/>
      <c r="H55" s="48"/>
      <c r="I55" s="48"/>
      <c r="J55" s="48"/>
      <c r="K55" s="48"/>
      <c r="L55" s="48"/>
      <c r="M55" s="48"/>
      <c r="O55" s="1248"/>
      <c r="P55" s="1248"/>
      <c r="Q55" s="1248"/>
      <c r="R55" s="1248"/>
      <c r="S55" s="1248"/>
      <c r="T55" s="1248"/>
      <c r="U55" s="1248"/>
      <c r="V55" s="1248"/>
      <c r="W55" s="1248"/>
      <c r="X55" s="1248"/>
      <c r="Y55" s="1248"/>
      <c r="Z55" s="1248"/>
      <c r="AA55" s="1248"/>
      <c r="AB55" s="1248"/>
      <c r="AC55" s="1248"/>
      <c r="AD55" s="1248"/>
      <c r="AE55" s="1248"/>
      <c r="AF55" s="1248"/>
    </row>
    <row r="56" spans="4:32" ht="14.15" customHeight="1">
      <c r="D56" s="48"/>
      <c r="E56" s="48"/>
      <c r="F56" s="48"/>
      <c r="G56" s="48"/>
      <c r="H56" s="48"/>
      <c r="I56" s="48"/>
      <c r="J56" s="48"/>
      <c r="K56" s="48"/>
      <c r="L56" s="48"/>
      <c r="M56" s="48"/>
      <c r="O56" s="1248"/>
      <c r="P56" s="1248"/>
      <c r="Q56" s="1248"/>
      <c r="R56" s="1248"/>
      <c r="S56" s="1248"/>
      <c r="T56" s="1248"/>
      <c r="U56" s="1248"/>
      <c r="V56" s="1248"/>
      <c r="W56" s="1248"/>
      <c r="X56" s="1248"/>
      <c r="Y56" s="1248"/>
      <c r="Z56" s="1248"/>
      <c r="AA56" s="1248"/>
      <c r="AB56" s="1248"/>
      <c r="AC56" s="1248"/>
      <c r="AD56" s="1248"/>
      <c r="AE56" s="1248"/>
      <c r="AF56" s="1248"/>
    </row>
    <row r="57" spans="4:32">
      <c r="D57" s="48"/>
      <c r="E57" s="48"/>
      <c r="F57" s="48"/>
      <c r="G57" s="48"/>
      <c r="H57" s="48"/>
      <c r="I57" s="48"/>
      <c r="J57" s="48"/>
      <c r="K57" s="48"/>
      <c r="L57" s="48"/>
      <c r="M57" s="48"/>
      <c r="O57" s="1248"/>
      <c r="P57" s="1248"/>
      <c r="Q57" s="1248"/>
      <c r="R57" s="1248"/>
      <c r="S57" s="1248"/>
      <c r="T57" s="1248"/>
      <c r="U57" s="1248"/>
      <c r="V57" s="1248"/>
      <c r="W57" s="1248"/>
      <c r="X57" s="1248"/>
      <c r="Y57" s="1248"/>
      <c r="Z57" s="1248"/>
      <c r="AA57" s="1248"/>
      <c r="AB57" s="1248"/>
      <c r="AC57" s="1248"/>
      <c r="AD57" s="1248"/>
      <c r="AE57" s="1248"/>
      <c r="AF57" s="1248"/>
    </row>
    <row r="58" spans="4:32">
      <c r="D58" s="48"/>
      <c r="E58" s="48"/>
      <c r="F58" s="48"/>
      <c r="G58" s="48"/>
      <c r="H58" s="48"/>
      <c r="I58" s="48"/>
      <c r="J58" s="48"/>
      <c r="K58" s="48"/>
      <c r="L58" s="48"/>
      <c r="M58" s="48"/>
      <c r="O58" s="1248"/>
      <c r="P58" s="1248"/>
      <c r="Q58" s="1248"/>
      <c r="R58" s="1248"/>
      <c r="S58" s="1248"/>
      <c r="T58" s="1248"/>
      <c r="U58" s="1248"/>
      <c r="V58" s="1248"/>
      <c r="W58" s="1248"/>
      <c r="X58" s="1248"/>
      <c r="Y58" s="1248"/>
      <c r="Z58" s="1248"/>
      <c r="AA58" s="1248"/>
      <c r="AB58" s="1248"/>
      <c r="AC58" s="1248"/>
      <c r="AD58" s="1248"/>
      <c r="AE58" s="1248"/>
      <c r="AF58" s="1248"/>
    </row>
    <row r="59" spans="4:32">
      <c r="H59"/>
    </row>
    <row r="88" spans="3:32" ht="30" customHeight="1">
      <c r="C88" s="1728" t="str">
        <f>Text!$C$563</f>
        <v>Die ungenügende Kriterien sowie die ''Stolpersteine'' werden nachfolgend - auf die jeweiligen Bereiche aufgeteilt - noch spezifisch aufgeführt.</v>
      </c>
      <c r="D88" s="1728"/>
      <c r="E88" s="1728"/>
      <c r="F88" s="1728"/>
      <c r="G88" s="1728"/>
      <c r="H88" s="1728"/>
      <c r="I88" s="1728"/>
      <c r="J88" s="1728"/>
      <c r="K88" s="1728"/>
      <c r="L88" s="1728"/>
      <c r="M88" s="1728"/>
      <c r="N88" s="1728"/>
      <c r="O88" s="1728"/>
      <c r="Q88" s="1767" t="str">
        <f>IF(Tool!$H$18="Pre-Check","",Text!$C$563)</f>
        <v>Die ungenügende Kriterien sowie die ''Stolpersteine'' werden nachfolgend - auf die jeweiligen Bereiche aufgeteilt - noch spezifisch aufgeführt.</v>
      </c>
      <c r="R88" s="1767"/>
      <c r="S88" s="1767"/>
      <c r="T88" s="1767"/>
      <c r="U88" s="1767"/>
      <c r="V88" s="1767"/>
      <c r="W88" s="1767"/>
      <c r="X88" s="1767"/>
      <c r="Y88" s="1767"/>
      <c r="Z88" s="1767"/>
      <c r="AA88" s="1767"/>
      <c r="AB88" s="1767"/>
      <c r="AC88" s="1767"/>
      <c r="AD88" s="1767"/>
      <c r="AE88" s="1767"/>
      <c r="AF88" s="1767"/>
    </row>
    <row r="89" spans="3:32" ht="10.4" customHeight="1">
      <c r="Z89" s="50"/>
      <c r="AA89" s="1"/>
    </row>
    <row r="90" spans="3:32" ht="30" customHeight="1">
      <c r="C90" s="1767" t="str">
        <f>Text!$C$564</f>
        <v>Die folgenden Kriterien werden als "ungenügend" bewertet und erfordern Nachbesserungen, um den Nachhaltigkeitsansprüchen zu genügen:</v>
      </c>
      <c r="D90" s="1767"/>
      <c r="E90" s="1767"/>
      <c r="F90" s="1767"/>
      <c r="G90" s="1767"/>
      <c r="H90" s="1767"/>
      <c r="I90" s="1767"/>
      <c r="J90" s="1767"/>
      <c r="K90" s="1767"/>
      <c r="L90" s="1767"/>
      <c r="M90" s="1767"/>
      <c r="N90" s="1767"/>
      <c r="O90" s="1767"/>
      <c r="Q90" s="1767" t="str">
        <f>IF(Tool!$H$18="Pre-Check","",Text!$C$564)</f>
        <v>Die folgenden Kriterien werden als "ungenügend" bewertet und erfordern Nachbesserungen, um den Nachhaltigkeitsansprüchen zu genügen:</v>
      </c>
      <c r="R90" s="1767"/>
      <c r="S90" s="1767"/>
      <c r="T90" s="1767"/>
      <c r="U90" s="1767"/>
      <c r="V90" s="1767"/>
      <c r="W90" s="1767"/>
      <c r="X90" s="1767"/>
      <c r="Y90" s="1767"/>
      <c r="Z90" s="1767"/>
      <c r="AA90" s="1767"/>
      <c r="AB90" s="1767"/>
      <c r="AC90" s="1767"/>
      <c r="AD90" s="1767"/>
      <c r="AE90" s="1767"/>
      <c r="AF90" s="1767"/>
    </row>
    <row r="91" spans="3:32">
      <c r="K91" s="104"/>
      <c r="Z91" s="50"/>
      <c r="AA91" s="1"/>
    </row>
    <row r="92" spans="3:32" ht="30" customHeight="1">
      <c r="C92" s="1958" t="str">
        <f>Text!$AK$23</f>
        <v>Gesellschaft</v>
      </c>
      <c r="D92" s="1958"/>
      <c r="E92" s="2002" t="str">
        <f>Text!$BH$310</f>
        <v/>
      </c>
      <c r="F92" s="1728"/>
      <c r="G92" s="1728"/>
      <c r="H92" s="1728"/>
      <c r="I92" s="1728"/>
      <c r="J92" s="1728"/>
      <c r="K92" s="1728"/>
      <c r="L92" s="1728"/>
      <c r="M92" s="1728"/>
      <c r="N92" s="1728"/>
      <c r="O92" s="1728"/>
      <c r="Q92" s="1958" t="str">
        <f>IF(Tool!$H$18="Pre-Check","",Text!$AK$23)</f>
        <v>Gesellschaft</v>
      </c>
      <c r="R92" s="1958"/>
      <c r="S92" s="1958"/>
      <c r="T92" s="1958"/>
      <c r="U92" s="1728" t="str">
        <f>IF(Tool!$H$18="Pre-Check","",Text!$BH$315)</f>
        <v/>
      </c>
      <c r="V92" s="1728"/>
      <c r="W92" s="1728"/>
      <c r="X92" s="1728"/>
      <c r="Y92" s="1728"/>
      <c r="Z92" s="1728"/>
      <c r="AA92" s="1728"/>
      <c r="AB92" s="1728"/>
      <c r="AC92" s="1728"/>
      <c r="AD92" s="1728"/>
      <c r="AE92" s="1728"/>
      <c r="AF92" s="1728"/>
    </row>
    <row r="93" spans="3:32" ht="30" customHeight="1">
      <c r="C93" s="1959" t="str">
        <f>Text!$AK$38</f>
        <v>Wirtschaft</v>
      </c>
      <c r="D93" s="1959"/>
      <c r="E93" s="2002" t="str">
        <f>Text!$BH$311</f>
        <v/>
      </c>
      <c r="F93" s="1728"/>
      <c r="G93" s="1728"/>
      <c r="H93" s="1728"/>
      <c r="I93" s="1728"/>
      <c r="J93" s="1728"/>
      <c r="K93" s="1728"/>
      <c r="L93" s="1728"/>
      <c r="M93" s="1728"/>
      <c r="N93" s="1728"/>
      <c r="O93" s="1728"/>
      <c r="Q93" s="1959" t="str">
        <f>IF(Tool!$H$18="Pre-Check","",Text!$AK$38)</f>
        <v>Wirtschaft</v>
      </c>
      <c r="R93" s="1959"/>
      <c r="S93" s="1959"/>
      <c r="T93" s="1959"/>
      <c r="U93" s="1728" t="str">
        <f>IF(Tool!$H$18="Pre-Check","",Text!$BH$316)</f>
        <v/>
      </c>
      <c r="V93" s="1728"/>
      <c r="W93" s="1728"/>
      <c r="X93" s="1728"/>
      <c r="Y93" s="1728"/>
      <c r="Z93" s="1728"/>
      <c r="AA93" s="1728"/>
      <c r="AB93" s="1728"/>
      <c r="AC93" s="1728"/>
      <c r="AD93" s="1728"/>
      <c r="AE93" s="1728"/>
      <c r="AF93" s="1728"/>
    </row>
    <row r="94" spans="3:32" ht="30" customHeight="1">
      <c r="C94" s="1960" t="str">
        <f>Text!$AK$46</f>
        <v>Umwelt</v>
      </c>
      <c r="D94" s="1960"/>
      <c r="E94" s="2002" t="str">
        <f>Text!$BH$312</f>
        <v/>
      </c>
      <c r="F94" s="1728"/>
      <c r="G94" s="1728"/>
      <c r="H94" s="1728"/>
      <c r="I94" s="1728"/>
      <c r="J94" s="1728"/>
      <c r="K94" s="1728"/>
      <c r="L94" s="1728"/>
      <c r="M94" s="1728"/>
      <c r="N94" s="1728"/>
      <c r="O94" s="1728"/>
      <c r="Q94" s="1960" t="str">
        <f>IF(Tool!$H$18="Pre-Check","",Text!$AK$46)</f>
        <v>Umwelt</v>
      </c>
      <c r="R94" s="1960"/>
      <c r="S94" s="1960"/>
      <c r="T94" s="1960"/>
      <c r="U94" s="1728" t="str">
        <f>IF(Tool!$H$18="Pre-Check","",Text!$BH$317)</f>
        <v/>
      </c>
      <c r="V94" s="1728"/>
      <c r="W94" s="1728"/>
      <c r="X94" s="1728"/>
      <c r="Y94" s="1728"/>
      <c r="Z94" s="1728"/>
      <c r="AA94" s="1728"/>
      <c r="AB94" s="1728"/>
      <c r="AC94" s="1728"/>
      <c r="AD94" s="1728"/>
      <c r="AE94" s="1728"/>
      <c r="AF94" s="1728"/>
    </row>
    <row r="95" spans="3:32" ht="10.4" customHeight="1">
      <c r="D95" s="481"/>
      <c r="Z95" s="50"/>
      <c r="AA95" s="1"/>
    </row>
    <row r="96" spans="3:32" ht="30" customHeight="1">
      <c r="C96" s="1767" t="str">
        <f>Text!$C$565</f>
        <v xml:space="preserve">Folgende Kriterien werden als "Stolpersteine" im Hinblick auf die Realisierung eines gesamtheitlich nachhaltigen Projektes identifiziert: </v>
      </c>
      <c r="D96" s="1767"/>
      <c r="E96" s="1767"/>
      <c r="F96" s="1767"/>
      <c r="G96" s="1767"/>
      <c r="H96" s="1767"/>
      <c r="I96" s="1767"/>
      <c r="J96" s="1767"/>
      <c r="K96" s="1767"/>
      <c r="L96" s="1767"/>
      <c r="M96" s="1767"/>
      <c r="N96" s="1767"/>
      <c r="O96" s="1767"/>
      <c r="Q96" s="1767" t="str">
        <f>IF(Tool!$H$18="Pre-Check","",Text!$C$565)</f>
        <v xml:space="preserve">Folgende Kriterien werden als "Stolpersteine" im Hinblick auf die Realisierung eines gesamtheitlich nachhaltigen Projektes identifiziert: </v>
      </c>
      <c r="R96" s="1767"/>
      <c r="S96" s="1767"/>
      <c r="T96" s="1767"/>
      <c r="U96" s="1767"/>
      <c r="V96" s="1767"/>
      <c r="W96" s="1767"/>
      <c r="X96" s="1767"/>
      <c r="Y96" s="1767"/>
      <c r="Z96" s="1767"/>
      <c r="AA96" s="1767"/>
      <c r="AB96" s="1767"/>
      <c r="AC96" s="1767"/>
      <c r="AD96" s="1767"/>
      <c r="AE96" s="1767"/>
      <c r="AF96" s="1767"/>
    </row>
    <row r="97" spans="1:39">
      <c r="C97" s="104"/>
      <c r="D97" s="44"/>
      <c r="E97" s="44"/>
      <c r="F97" s="44"/>
      <c r="G97" s="44"/>
      <c r="H97" s="44"/>
      <c r="I97" s="44"/>
      <c r="J97" s="104"/>
      <c r="K97" s="104"/>
      <c r="Z97" s="50"/>
      <c r="AA97" s="1"/>
    </row>
    <row r="98" spans="1:39" ht="30" customHeight="1">
      <c r="C98" s="1958" t="str">
        <f>Text!$AK$23</f>
        <v>Gesellschaft</v>
      </c>
      <c r="D98" s="1958"/>
      <c r="E98" s="2001" t="str">
        <f>Text!$BI$310</f>
        <v/>
      </c>
      <c r="F98" s="1734"/>
      <c r="G98" s="1734"/>
      <c r="H98" s="1734"/>
      <c r="I98" s="1734"/>
      <c r="J98" s="1734"/>
      <c r="K98" s="1734"/>
      <c r="L98" s="1734"/>
      <c r="M98" s="1734"/>
      <c r="N98" s="1734"/>
      <c r="O98" s="1734"/>
      <c r="Q98" s="1958" t="str">
        <f>IF(Tool!$H$18="Pre-Check","",Text!$AK$23)</f>
        <v>Gesellschaft</v>
      </c>
      <c r="R98" s="1958"/>
      <c r="S98" s="1958"/>
      <c r="T98" s="1958"/>
      <c r="U98" s="1728" t="str">
        <f>IF(Tool!$H$18="Pre-Check","",Text!$BH$315)</f>
        <v/>
      </c>
      <c r="V98" s="1728"/>
      <c r="W98" s="1728"/>
      <c r="X98" s="1728"/>
      <c r="Y98" s="1728"/>
      <c r="Z98" s="1728"/>
      <c r="AA98" s="1728"/>
      <c r="AB98" s="1728"/>
      <c r="AC98" s="1728"/>
      <c r="AD98" s="1728"/>
      <c r="AE98" s="1728"/>
      <c r="AF98" s="1728"/>
    </row>
    <row r="99" spans="1:39" ht="30" customHeight="1">
      <c r="C99" s="1959" t="str">
        <f>Text!$AK$38</f>
        <v>Wirtschaft</v>
      </c>
      <c r="D99" s="1959"/>
      <c r="E99" s="2001" t="str">
        <f>Text!$BI$311</f>
        <v/>
      </c>
      <c r="F99" s="1734"/>
      <c r="G99" s="1734"/>
      <c r="H99" s="1734"/>
      <c r="I99" s="1734"/>
      <c r="J99" s="1734"/>
      <c r="K99" s="1734"/>
      <c r="L99" s="1734"/>
      <c r="M99" s="1734"/>
      <c r="N99" s="1734"/>
      <c r="O99" s="1734"/>
      <c r="Q99" s="1959" t="str">
        <f>IF(Tool!$H$18="Pre-Check","",Text!$AK$38)</f>
        <v>Wirtschaft</v>
      </c>
      <c r="R99" s="1959"/>
      <c r="S99" s="1959"/>
      <c r="T99" s="1959"/>
      <c r="U99" s="1728" t="str">
        <f>IF(Tool!$H$18="Pre-Check","",Text!$BI$316)</f>
        <v/>
      </c>
      <c r="V99" s="1728"/>
      <c r="W99" s="1728"/>
      <c r="X99" s="1728"/>
      <c r="Y99" s="1728"/>
      <c r="Z99" s="1728"/>
      <c r="AA99" s="1728"/>
      <c r="AB99" s="1728"/>
      <c r="AC99" s="1728"/>
      <c r="AD99" s="1728"/>
      <c r="AE99" s="1728"/>
      <c r="AF99" s="1728"/>
    </row>
    <row r="100" spans="1:39" ht="30" customHeight="1">
      <c r="C100" s="1960" t="str">
        <f>Text!$AK$46</f>
        <v>Umwelt</v>
      </c>
      <c r="D100" s="1960"/>
      <c r="E100" s="2001" t="str">
        <f>Text!$BI$312</f>
        <v/>
      </c>
      <c r="F100" s="1734"/>
      <c r="G100" s="1734"/>
      <c r="H100" s="1734"/>
      <c r="I100" s="1734"/>
      <c r="J100" s="1734"/>
      <c r="K100" s="1734"/>
      <c r="L100" s="1734"/>
      <c r="M100" s="1734"/>
      <c r="N100" s="1734"/>
      <c r="O100" s="1734"/>
      <c r="Q100" s="1960" t="str">
        <f>IF(Tool!$H$18="Pre-Check","",Text!$AK$46)</f>
        <v>Umwelt</v>
      </c>
      <c r="R100" s="1960"/>
      <c r="S100" s="1960"/>
      <c r="T100" s="1960"/>
      <c r="U100" s="1728" t="str">
        <f>IF(Tool!$H$18="Pre-Check","",Text!$BI$317)</f>
        <v/>
      </c>
      <c r="V100" s="1728"/>
      <c r="W100" s="1728"/>
      <c r="X100" s="1728"/>
      <c r="Y100" s="1728"/>
      <c r="Z100" s="1728"/>
      <c r="AA100" s="1728"/>
      <c r="AB100" s="1728"/>
      <c r="AC100" s="1728"/>
      <c r="AD100" s="1728"/>
      <c r="AE100" s="1728"/>
      <c r="AF100" s="1728"/>
    </row>
    <row r="101" spans="1:39" ht="46.5" customHeight="1">
      <c r="C101" s="1255"/>
      <c r="D101" s="1255"/>
      <c r="E101" s="1231"/>
      <c r="F101" s="1231"/>
      <c r="G101" s="1231"/>
      <c r="H101" s="1231"/>
      <c r="I101" s="1231"/>
      <c r="J101" s="1231"/>
      <c r="K101" s="1231"/>
      <c r="L101" s="1231"/>
      <c r="M101" s="1231"/>
      <c r="N101" s="1231"/>
      <c r="O101" s="1231"/>
      <c r="Q101"/>
      <c r="R101" s="1256"/>
      <c r="S101" s="1256"/>
      <c r="T101" s="1256"/>
      <c r="U101" s="1256"/>
      <c r="V101" s="1257"/>
      <c r="W101" s="1257"/>
      <c r="X101" s="1257"/>
      <c r="Y101" s="1257"/>
      <c r="Z101" s="1257"/>
      <c r="AA101" s="1257"/>
      <c r="AB101" s="1257"/>
      <c r="AC101" s="1257"/>
      <c r="AD101" s="1257"/>
      <c r="AE101" s="1257"/>
      <c r="AF101" s="1257"/>
      <c r="AG101" s="481"/>
    </row>
    <row r="102" spans="1:39" s="244" customFormat="1" ht="60" customHeight="1">
      <c r="A102" s="44"/>
      <c r="D102" s="1230"/>
      <c r="E102" s="1230"/>
      <c r="F102" s="1230"/>
      <c r="G102" s="1230"/>
      <c r="H102" s="1230"/>
      <c r="I102" s="1230"/>
      <c r="J102" s="1230"/>
      <c r="K102" s="1230"/>
      <c r="L102" s="1230"/>
      <c r="M102" s="1230"/>
      <c r="N102" s="1230"/>
      <c r="O102" s="1230"/>
      <c r="P102" s="1230"/>
      <c r="Q102" s="1230"/>
      <c r="R102" s="1230"/>
      <c r="S102" s="1230"/>
      <c r="T102" s="1230"/>
      <c r="U102" s="1230"/>
      <c r="V102" s="1230"/>
      <c r="W102" s="1230"/>
      <c r="X102" s="1230"/>
      <c r="Y102" s="104"/>
      <c r="Z102" s="104"/>
      <c r="AA102" s="104"/>
      <c r="AB102" s="104"/>
      <c r="AC102" s="104"/>
      <c r="AD102" s="104"/>
      <c r="AE102" s="104"/>
      <c r="AF102" s="104"/>
      <c r="AG102" s="104"/>
      <c r="AH102" s="104"/>
      <c r="AI102" s="104"/>
      <c r="AJ102" s="104"/>
    </row>
    <row r="103" spans="1:39" ht="20.149999999999999" customHeight="1">
      <c r="K103" s="131"/>
      <c r="L103" s="131"/>
      <c r="M103" s="78"/>
      <c r="V103" s="1267"/>
      <c r="W103" s="1267"/>
      <c r="X103" s="1267"/>
      <c r="Y103" s="1267"/>
      <c r="Z103" s="1267"/>
      <c r="AA103" s="1267"/>
      <c r="AB103" s="1947" t="str">
        <f>Text!$C$575</f>
        <v>Bewertung der Kriterien</v>
      </c>
      <c r="AC103" s="1947"/>
      <c r="AD103" s="1947"/>
      <c r="AE103" s="1947"/>
      <c r="AF103" s="480" t="s">
        <v>417</v>
      </c>
      <c r="AG103" s="1234"/>
      <c r="AH103" s="475"/>
      <c r="AI103" s="78"/>
      <c r="AJ103" s="78"/>
      <c r="AK103" s="78"/>
      <c r="AL103" s="78"/>
      <c r="AM103" s="78"/>
    </row>
    <row r="104" spans="1:39" ht="5.15" customHeight="1">
      <c r="M104" s="78"/>
      <c r="V104" s="1267"/>
      <c r="W104" s="1267"/>
      <c r="X104" s="1267"/>
      <c r="Y104" s="1267"/>
      <c r="Z104" s="1267"/>
      <c r="AA104" s="1267"/>
      <c r="AE104" s="475"/>
      <c r="AG104" s="475"/>
      <c r="AH104" s="475"/>
      <c r="AI104" s="78"/>
      <c r="AJ104" s="78"/>
      <c r="AK104" s="78"/>
      <c r="AL104" s="78"/>
      <c r="AM104" s="78"/>
    </row>
    <row r="105" spans="1:39" ht="10.4" customHeight="1">
      <c r="K105" s="131"/>
      <c r="L105" s="131"/>
      <c r="M105" s="78"/>
      <c r="V105" s="1267"/>
      <c r="W105" s="1267"/>
      <c r="X105" s="1267"/>
      <c r="Y105" s="1267"/>
      <c r="Z105" s="1267"/>
      <c r="AA105" s="1267"/>
      <c r="AB105" s="1948" t="str">
        <f>Text!$C$559</f>
        <v>Gut</v>
      </c>
      <c r="AC105" s="1948"/>
      <c r="AD105" s="1948"/>
      <c r="AF105" s="131" t="s">
        <v>406</v>
      </c>
      <c r="AI105" s="78"/>
      <c r="AJ105" s="78"/>
      <c r="AK105" s="78"/>
      <c r="AL105" s="78"/>
      <c r="AM105" s="78"/>
    </row>
    <row r="106" spans="1:39" ht="2.15" customHeight="1">
      <c r="K106" s="131"/>
      <c r="L106" s="131"/>
      <c r="M106" s="78"/>
      <c r="V106" s="1267"/>
      <c r="W106" s="1267"/>
      <c r="X106" s="1267"/>
      <c r="Y106" s="1267"/>
      <c r="Z106" s="1267"/>
      <c r="AA106" s="1267"/>
      <c r="AB106" s="472"/>
      <c r="AF106" s="131"/>
      <c r="AI106" s="78"/>
      <c r="AJ106" s="78"/>
      <c r="AK106" s="78"/>
      <c r="AL106" s="78"/>
      <c r="AM106" s="78"/>
    </row>
    <row r="107" spans="1:39" ht="10.4" customHeight="1">
      <c r="K107" s="131"/>
      <c r="L107" s="131"/>
      <c r="M107" s="78"/>
      <c r="V107" s="1268"/>
      <c r="W107" s="1268"/>
      <c r="X107"/>
      <c r="Y107" s="1269"/>
      <c r="Z107" s="1269"/>
      <c r="AA107" s="1269"/>
      <c r="AB107" s="1949" t="str">
        <f>Text!$C$558</f>
        <v>Genügend</v>
      </c>
      <c r="AC107" s="1950"/>
      <c r="AD107" s="1950"/>
      <c r="AF107" s="131" t="s">
        <v>407</v>
      </c>
      <c r="AI107" s="78"/>
      <c r="AJ107" s="78"/>
      <c r="AK107" s="78"/>
      <c r="AL107" s="78"/>
      <c r="AM107" s="78"/>
    </row>
    <row r="108" spans="1:39" ht="2.15" customHeight="1">
      <c r="K108" s="131"/>
      <c r="L108" s="131"/>
      <c r="M108" s="78"/>
      <c r="O108" s="11"/>
      <c r="V108"/>
      <c r="W108"/>
      <c r="X108"/>
      <c r="Y108"/>
      <c r="Z108"/>
      <c r="AA108"/>
      <c r="AB108" s="472"/>
      <c r="AF108" s="131"/>
      <c r="AI108" s="78"/>
      <c r="AJ108" s="78"/>
      <c r="AK108" s="78"/>
      <c r="AL108" s="78"/>
      <c r="AM108" s="78"/>
    </row>
    <row r="109" spans="1:39" ht="10.4" customHeight="1">
      <c r="K109" s="131"/>
      <c r="L109" s="131"/>
      <c r="M109" s="78"/>
      <c r="V109" s="1270"/>
      <c r="W109" s="1270"/>
      <c r="X109"/>
      <c r="Y109" s="1271"/>
      <c r="Z109" s="1271"/>
      <c r="AA109"/>
      <c r="AB109" s="1951" t="str">
        <f>Text!$C$557</f>
        <v>Ungenügend</v>
      </c>
      <c r="AC109" s="1952"/>
      <c r="AD109" s="1952"/>
      <c r="AE109" s="78"/>
      <c r="AF109" s="131" t="s">
        <v>408</v>
      </c>
      <c r="AG109" s="78"/>
      <c r="AH109" s="78"/>
      <c r="AI109" s="78"/>
      <c r="AJ109" s="78"/>
      <c r="AK109" s="78"/>
      <c r="AL109" s="78"/>
      <c r="AM109" s="78"/>
    </row>
    <row r="110" spans="1:39" ht="2.15" customHeight="1">
      <c r="K110" s="131"/>
      <c r="L110" s="131"/>
      <c r="M110" s="78"/>
      <c r="V110" s="11"/>
      <c r="X110" s="78"/>
      <c r="Y110" s="78"/>
      <c r="Z110" s="78"/>
      <c r="AA110" s="78"/>
      <c r="AB110" s="472"/>
      <c r="AE110" s="78"/>
      <c r="AF110" s="131"/>
      <c r="AG110" s="78"/>
      <c r="AH110" s="78"/>
      <c r="AI110" s="78"/>
      <c r="AJ110" s="78"/>
      <c r="AK110" s="78"/>
      <c r="AL110" s="78"/>
      <c r="AM110" s="78"/>
    </row>
    <row r="111" spans="1:39" ht="10.4" customHeight="1">
      <c r="B111" s="232"/>
      <c r="C111" s="232"/>
      <c r="D111" s="233"/>
      <c r="E111" s="232"/>
      <c r="K111" s="131"/>
      <c r="L111" s="131"/>
      <c r="Q111" s="232"/>
      <c r="R111" s="233"/>
      <c r="S111" s="232"/>
      <c r="T111" s="232"/>
      <c r="X111" s="234"/>
      <c r="Y111" s="234"/>
      <c r="Z111" s="234"/>
      <c r="AA111" s="232"/>
      <c r="AB111" s="1953" t="str">
        <f>Text!$C$556</f>
        <v>Stolperstein</v>
      </c>
      <c r="AC111" s="1954"/>
      <c r="AD111" s="1955"/>
      <c r="AE111" s="232"/>
      <c r="AF111" s="131" t="s">
        <v>409</v>
      </c>
      <c r="AG111" s="232"/>
      <c r="AH111" s="232"/>
      <c r="AI111"/>
      <c r="AJ111"/>
      <c r="AK111"/>
      <c r="AL111"/>
      <c r="AM111"/>
    </row>
    <row r="112" spans="1:39" ht="10.4" customHeight="1">
      <c r="B112" s="232"/>
      <c r="C112" s="232"/>
      <c r="D112" s="233"/>
      <c r="E112" s="232"/>
      <c r="H112" s="474"/>
      <c r="I112" s="234"/>
      <c r="J112" s="234"/>
      <c r="K112" s="473"/>
      <c r="L112" s="473"/>
      <c r="Q112" s="232"/>
      <c r="R112" s="233"/>
      <c r="S112" s="232"/>
      <c r="T112" s="232"/>
      <c r="U112" s="1235"/>
      <c r="V112" s="1235"/>
      <c r="W112" s="1235"/>
      <c r="X112" s="1235"/>
      <c r="Y112" s="1235"/>
      <c r="Z112" s="1235"/>
      <c r="AA112" s="1235"/>
      <c r="AB112" s="1235"/>
      <c r="AC112" s="1235"/>
      <c r="AD112" s="1235"/>
      <c r="AE112" s="232"/>
      <c r="AF112" s="232"/>
      <c r="AG112" s="232"/>
      <c r="AH112" s="232"/>
      <c r="AI112"/>
      <c r="AJ112"/>
      <c r="AK112"/>
      <c r="AL112"/>
      <c r="AM112"/>
    </row>
    <row r="113" spans="1:39" ht="10" customHeight="1">
      <c r="B113" s="1956" t="str">
        <f>Text!C$312</f>
        <v>Pre-Check SNBS 2023.1 Hochbau</v>
      </c>
      <c r="C113" s="1956"/>
      <c r="D113" s="1956"/>
      <c r="E113" s="1956"/>
      <c r="F113" s="1956"/>
      <c r="G113" s="1956"/>
      <c r="H113" s="1956"/>
      <c r="I113" s="1956"/>
      <c r="J113" s="1956"/>
      <c r="K113" s="1956"/>
      <c r="M113" s="1957"/>
      <c r="N113" s="1957"/>
      <c r="O113" s="1957"/>
      <c r="Q113" s="1854"/>
      <c r="R113" s="1854"/>
      <c r="S113" s="14"/>
      <c r="T113" s="14"/>
      <c r="U113" s="1956" t="str">
        <f>Text!C$403</f>
        <v>Klima-Check</v>
      </c>
      <c r="V113" s="1956"/>
      <c r="W113" s="1956"/>
      <c r="X113" s="1956"/>
      <c r="Y113" s="1956"/>
      <c r="Z113" s="1956"/>
      <c r="AA113" s="1956"/>
      <c r="AB113" s="1956"/>
      <c r="AC113" s="1956"/>
      <c r="AD113" s="1956"/>
      <c r="AE113" s="1956"/>
      <c r="AF113" s="1956"/>
      <c r="AG113" s="1956"/>
      <c r="AI113"/>
      <c r="AJ113"/>
      <c r="AK113"/>
      <c r="AL113"/>
      <c r="AM113"/>
    </row>
    <row r="114" spans="1:39" ht="15" customHeight="1">
      <c r="B114" s="1956"/>
      <c r="C114" s="1956"/>
      <c r="D114" s="1956"/>
      <c r="E114" s="1956"/>
      <c r="F114" s="1956"/>
      <c r="G114" s="1956"/>
      <c r="H114" s="1956"/>
      <c r="I114" s="1956"/>
      <c r="J114" s="1956"/>
      <c r="K114" s="1956"/>
      <c r="M114" s="1957"/>
      <c r="N114" s="1957"/>
      <c r="O114" s="1957"/>
      <c r="Q114" s="1854"/>
      <c r="R114" s="1854"/>
      <c r="U114" s="1956"/>
      <c r="V114" s="1956"/>
      <c r="W114" s="1956"/>
      <c r="X114" s="1956"/>
      <c r="Y114" s="1956"/>
      <c r="Z114" s="1956"/>
      <c r="AA114" s="1956"/>
      <c r="AB114" s="1956"/>
      <c r="AC114" s="1956"/>
      <c r="AD114" s="1956"/>
      <c r="AE114" s="1956"/>
      <c r="AF114" s="1956"/>
      <c r="AG114" s="1956"/>
    </row>
    <row r="115" spans="1:39" ht="7" customHeight="1">
      <c r="B115" s="1956"/>
      <c r="C115" s="1956"/>
      <c r="D115" s="1956"/>
      <c r="E115" s="1956"/>
      <c r="F115" s="1956"/>
      <c r="G115" s="1956"/>
      <c r="H115" s="1956"/>
      <c r="I115" s="1956"/>
      <c r="J115" s="1956"/>
      <c r="K115" s="1956"/>
      <c r="M115" s="1957"/>
      <c r="N115" s="1957"/>
      <c r="O115" s="1957"/>
      <c r="Q115" s="1854"/>
      <c r="R115" s="1854"/>
      <c r="U115" s="1956"/>
      <c r="V115" s="1956"/>
      <c r="W115" s="1956"/>
      <c r="X115" s="1956"/>
      <c r="Y115" s="1956"/>
      <c r="Z115" s="1956"/>
      <c r="AA115" s="1956"/>
      <c r="AB115" s="1956"/>
      <c r="AC115" s="1956"/>
      <c r="AD115" s="1956"/>
      <c r="AE115" s="1956"/>
      <c r="AF115" s="1956"/>
      <c r="AG115" s="1956"/>
    </row>
    <row r="116" spans="1:39" ht="30" customHeight="1">
      <c r="B116" s="1749" t="str">
        <f>Text!AK$23</f>
        <v>Gesellschaft</v>
      </c>
      <c r="C116" s="1749"/>
      <c r="D116" s="1749"/>
      <c r="E116" s="1749"/>
      <c r="F116" s="1250"/>
      <c r="G116" s="2000" t="str">
        <f>Text!C$568</f>
        <v>Im Bereich ''Gesellschaft'' wird ein Erfüllungsgrad von 0% erzielt</v>
      </c>
      <c r="H116" s="2000"/>
      <c r="I116" s="2000"/>
      <c r="J116" s="2000"/>
      <c r="K116" s="2000"/>
      <c r="M116" s="1957"/>
      <c r="N116" s="1957"/>
      <c r="O116" s="1957"/>
      <c r="Q116" s="1854"/>
      <c r="R116" s="1854"/>
      <c r="S116" s="14"/>
      <c r="T116" s="14"/>
      <c r="U116" s="2000" t="str">
        <f>Text!C$571</f>
        <v>Im Bereich ''Gesellschaft'' wird ein Erfüllungsgrad von 0% erzielt</v>
      </c>
      <c r="V116" s="2000"/>
      <c r="W116" s="2000"/>
      <c r="X116" s="2000"/>
      <c r="Y116" s="2000"/>
      <c r="Z116" s="2000"/>
      <c r="AA116" s="1250"/>
      <c r="AB116" s="1749" t="str">
        <f>Text!AK$23</f>
        <v>Gesellschaft</v>
      </c>
      <c r="AC116" s="1749"/>
      <c r="AD116" s="1749"/>
      <c r="AE116" s="1749"/>
      <c r="AF116" s="1749"/>
      <c r="AG116" s="1749"/>
      <c r="AI116"/>
      <c r="AJ116"/>
      <c r="AK116"/>
      <c r="AL116"/>
      <c r="AM116"/>
    </row>
    <row r="117" spans="1:39" ht="12" customHeight="1" thickBot="1">
      <c r="E117" s="1251"/>
      <c r="K117" s="235"/>
      <c r="L117" s="235"/>
      <c r="M117" s="235"/>
      <c r="N117" s="235"/>
      <c r="O117" s="235"/>
      <c r="P117" s="235"/>
      <c r="Q117" s="235"/>
      <c r="R117" s="235"/>
      <c r="S117" s="235"/>
      <c r="T117" s="235"/>
      <c r="U117" s="235"/>
      <c r="V117" s="235"/>
      <c r="W117" s="235"/>
      <c r="X117" s="235"/>
      <c r="Y117" s="235"/>
      <c r="Z117" s="235"/>
      <c r="AA117" s="235"/>
      <c r="AB117" s="235"/>
      <c r="AC117" s="235"/>
      <c r="AD117" s="235"/>
      <c r="AE117" s="235"/>
      <c r="AF117" s="235"/>
      <c r="AG117" s="235"/>
      <c r="AH117" s="235"/>
      <c r="AI117"/>
      <c r="AJ117"/>
      <c r="AK117"/>
      <c r="AL117"/>
      <c r="AM117"/>
    </row>
    <row r="118" spans="1:39" ht="2.15" customHeight="1" thickTop="1" thickBot="1">
      <c r="B118" s="1939">
        <f>Text!$AM$23</f>
        <v>11</v>
      </c>
      <c r="C118" s="1937" t="str">
        <f>Text!$BA$23</f>
        <v xml:space="preserve">             Qualität der Entwicklung</v>
      </c>
      <c r="D118" s="1937"/>
      <c r="E118" s="1937"/>
      <c r="K118" s="235"/>
      <c r="L118" s="235"/>
      <c r="M118" s="235"/>
      <c r="N118" s="235"/>
      <c r="O118" s="235"/>
      <c r="P118" s="235"/>
      <c r="Q118" s="235"/>
      <c r="R118" s="235"/>
      <c r="S118" s="235"/>
      <c r="T118" s="235"/>
      <c r="U118" s="235"/>
      <c r="V118" s="235"/>
      <c r="W118" s="235"/>
      <c r="X118" s="235"/>
      <c r="Y118" s="235"/>
      <c r="Z118" s="235"/>
      <c r="AA118" s="235"/>
      <c r="AB118" s="1865" t="str">
        <f>Text!$BA$23</f>
        <v xml:space="preserve">             Qualität der Entwicklung</v>
      </c>
      <c r="AC118" s="1866"/>
      <c r="AD118" s="1866"/>
      <c r="AE118" s="1866"/>
      <c r="AF118" s="1867"/>
      <c r="AG118" s="1940">
        <f>Text!$AM$23</f>
        <v>11</v>
      </c>
      <c r="AH118" s="235"/>
      <c r="AI118"/>
      <c r="AJ118"/>
      <c r="AK118"/>
      <c r="AL118"/>
      <c r="AM118"/>
    </row>
    <row r="119" spans="1:39" s="44" customFormat="1" ht="10.4" customHeight="1" thickTop="1" thickBot="1">
      <c r="A119" s="1"/>
      <c r="B119" s="1863"/>
      <c r="C119" s="1937"/>
      <c r="D119" s="1937"/>
      <c r="E119" s="1937"/>
      <c r="F119" s="1"/>
      <c r="G119" s="1145">
        <f>Text!$AQ$23</f>
        <v>111</v>
      </c>
      <c r="H119" s="1941" t="str">
        <f>Text!$AR$23</f>
        <v>Ziele &amp; Pflichtenhefte</v>
      </c>
      <c r="I119" s="1942"/>
      <c r="J119" s="1942"/>
      <c r="K119" s="1943"/>
      <c r="M119" s="1146" t="s">
        <v>1444</v>
      </c>
      <c r="P119" s="1161" t="s">
        <v>1444</v>
      </c>
      <c r="S119" s="59"/>
      <c r="T119" s="59"/>
      <c r="U119" s="1934" t="str">
        <f>Text!$AU$23</f>
        <v>Ziele &amp; Pflichtenhefte Klima</v>
      </c>
      <c r="V119" s="1935"/>
      <c r="W119" s="1935"/>
      <c r="X119" s="1935"/>
      <c r="Y119" s="1936"/>
      <c r="Z119" s="1148" t="str">
        <f>Text!$AT$23</f>
        <v>K111</v>
      </c>
      <c r="AA119" s="1404"/>
      <c r="AB119" s="1868"/>
      <c r="AC119" s="1869"/>
      <c r="AD119" s="1869"/>
      <c r="AE119" s="1869"/>
      <c r="AF119" s="1870"/>
      <c r="AG119" s="1874"/>
      <c r="AH119" s="236"/>
      <c r="AI119" s="237"/>
      <c r="AJ119" s="238"/>
      <c r="AK119" s="238"/>
      <c r="AL119" s="238"/>
      <c r="AM119" s="238"/>
    </row>
    <row r="120" spans="1:39" s="240" customFormat="1" ht="10.4" customHeight="1" thickTop="1" thickBot="1">
      <c r="A120" s="1"/>
      <c r="B120" s="1863"/>
      <c r="C120" s="1937"/>
      <c r="D120" s="1937"/>
      <c r="E120" s="1937"/>
      <c r="F120" s="1"/>
      <c r="G120" s="1145">
        <f>Text!$AQ$24</f>
        <v>112</v>
      </c>
      <c r="H120" s="1995" t="str">
        <f>Text!$AR$24</f>
        <v>Städtebau &amp; Architektur</v>
      </c>
      <c r="I120" s="1996"/>
      <c r="J120" s="1996"/>
      <c r="K120" s="1997"/>
      <c r="M120" s="2"/>
      <c r="N120" s="2"/>
      <c r="O120" s="2"/>
      <c r="P120" s="2"/>
      <c r="Q120" s="2"/>
      <c r="R120" s="2"/>
      <c r="S120" s="59"/>
      <c r="T120" s="59"/>
      <c r="U120" s="1934" t="str">
        <f>Text!$AU$24</f>
        <v>Klimaangepasster Städtebau</v>
      </c>
      <c r="V120" s="1935"/>
      <c r="W120" s="1935"/>
      <c r="X120" s="1935"/>
      <c r="Y120" s="1936"/>
      <c r="Z120" s="1148" t="str">
        <f>Text!$AT$24</f>
        <v>K112a</v>
      </c>
      <c r="AA120" s="1405"/>
      <c r="AB120" s="1868"/>
      <c r="AC120" s="1869"/>
      <c r="AD120" s="1869"/>
      <c r="AE120" s="1869"/>
      <c r="AF120" s="1870"/>
      <c r="AG120" s="1874"/>
      <c r="AH120" s="235"/>
      <c r="AI120" s="239"/>
    </row>
    <row r="121" spans="1:39" s="240" customFormat="1" ht="10.4" customHeight="1" thickTop="1" thickBot="1">
      <c r="A121" s="1"/>
      <c r="B121" s="1863"/>
      <c r="C121" s="1937"/>
      <c r="D121" s="1937"/>
      <c r="E121" s="1937"/>
      <c r="F121" s="1"/>
      <c r="M121" s="18"/>
      <c r="N121" s="2"/>
      <c r="O121" s="2"/>
      <c r="P121" s="2"/>
      <c r="Q121" s="2"/>
      <c r="R121" s="2"/>
      <c r="S121" s="59"/>
      <c r="T121" s="59"/>
      <c r="U121" s="1934" t="str">
        <f>Text!$AU$25</f>
        <v>Klimaangepasstes Planerwahlverfahren</v>
      </c>
      <c r="V121" s="1935"/>
      <c r="W121" s="1935"/>
      <c r="X121" s="1935"/>
      <c r="Y121" s="1936"/>
      <c r="Z121" s="1148" t="str">
        <f>Text!$AT$25</f>
        <v>K112b</v>
      </c>
      <c r="AA121" s="1405"/>
      <c r="AB121" s="1868"/>
      <c r="AC121" s="1869"/>
      <c r="AD121" s="1869"/>
      <c r="AE121" s="1869"/>
      <c r="AF121" s="1870"/>
      <c r="AG121" s="1874"/>
      <c r="AH121" s="235"/>
      <c r="AI121" s="242"/>
    </row>
    <row r="122" spans="1:39" s="240" customFormat="1" ht="10.4" customHeight="1" thickTop="1" thickBot="1">
      <c r="A122" s="1"/>
      <c r="B122" s="1863"/>
      <c r="C122" s="1937"/>
      <c r="D122" s="1937"/>
      <c r="E122" s="1937"/>
      <c r="F122" s="1"/>
      <c r="G122" s="1145">
        <f>Text!$AQ$25</f>
        <v>113</v>
      </c>
      <c r="H122" s="1995" t="str">
        <f>Text!$AR$25</f>
        <v>Partizipation</v>
      </c>
      <c r="I122" s="1996"/>
      <c r="J122" s="1996"/>
      <c r="K122" s="1997"/>
      <c r="M122" s="18"/>
      <c r="N122" s="2"/>
      <c r="O122" s="2"/>
      <c r="P122" s="2"/>
      <c r="Q122" s="2"/>
      <c r="R122" s="2"/>
      <c r="S122" s="59"/>
      <c r="T122" s="59"/>
      <c r="U122" s="1934" t="str">
        <f>Text!$AU$26</f>
        <v>Sensibilisierung &amp; Nutzerverhalten</v>
      </c>
      <c r="V122" s="1935"/>
      <c r="W122" s="1935"/>
      <c r="X122" s="1935"/>
      <c r="Y122" s="1936"/>
      <c r="Z122" s="1148" t="str">
        <f>Text!$AT$26</f>
        <v>K113a</v>
      </c>
      <c r="AA122" s="1405"/>
      <c r="AB122" s="1868"/>
      <c r="AC122" s="1869"/>
      <c r="AD122" s="1869"/>
      <c r="AE122" s="1869"/>
      <c r="AF122" s="1870"/>
      <c r="AG122" s="1874"/>
      <c r="AH122" s="235"/>
      <c r="AI122" s="242"/>
    </row>
    <row r="123" spans="1:39" s="240" customFormat="1" ht="10.4" customHeight="1" thickTop="1" thickBot="1">
      <c r="A123" s="1"/>
      <c r="B123" s="1863"/>
      <c r="C123" s="1937"/>
      <c r="D123" s="1937"/>
      <c r="E123" s="1937"/>
      <c r="F123" s="1"/>
      <c r="N123" s="2"/>
      <c r="O123" s="2"/>
      <c r="P123" s="2"/>
      <c r="Q123" s="2"/>
      <c r="R123" s="2"/>
      <c r="S123" s="59"/>
      <c r="T123" s="59"/>
      <c r="U123" s="1944" t="str">
        <f>Text!$AU$27</f>
        <v>Partizipation im Klimaschutz</v>
      </c>
      <c r="V123" s="1945"/>
      <c r="W123" s="1945"/>
      <c r="X123" s="1945"/>
      <c r="Y123" s="1946"/>
      <c r="Z123" s="1148" t="str">
        <f>Text!$AT$27</f>
        <v>K113b</v>
      </c>
      <c r="AA123" s="1405"/>
      <c r="AB123" s="1871"/>
      <c r="AC123" s="1872"/>
      <c r="AD123" s="1872"/>
      <c r="AE123" s="1872"/>
      <c r="AF123" s="1873"/>
      <c r="AG123" s="1874"/>
      <c r="AH123" s="235"/>
      <c r="AI123" s="241"/>
    </row>
    <row r="124" spans="1:39" s="240" customFormat="1" ht="2.15" customHeight="1" thickBot="1">
      <c r="A124" s="1"/>
      <c r="B124" s="1863">
        <f>Text!$AM$26</f>
        <v>12</v>
      </c>
      <c r="C124" s="1937" t="str">
        <f>Text!$BA$24</f>
        <v xml:space="preserve">             Angebot &amp; Erreichbarkeit</v>
      </c>
      <c r="D124" s="1937"/>
      <c r="E124" s="1937"/>
      <c r="F124" s="1"/>
      <c r="G124" s="1"/>
      <c r="H124" s="1"/>
      <c r="I124" s="1"/>
      <c r="J124" s="1"/>
      <c r="O124" s="2"/>
      <c r="P124" s="2"/>
      <c r="Q124" s="2"/>
      <c r="R124" s="2"/>
      <c r="S124" s="59"/>
      <c r="T124" s="59"/>
      <c r="U124" s="235"/>
      <c r="V124" s="1237"/>
      <c r="W124" s="235"/>
      <c r="X124" s="235"/>
      <c r="Y124" s="235"/>
      <c r="Z124" s="235"/>
      <c r="AA124" s="1405"/>
      <c r="AB124" s="1865" t="str">
        <f>Text!$BA$24</f>
        <v xml:space="preserve">             Angebot &amp; Erreichbarkeit</v>
      </c>
      <c r="AC124" s="1866"/>
      <c r="AD124" s="1866"/>
      <c r="AE124" s="1866"/>
      <c r="AF124" s="1867"/>
      <c r="AG124" s="1874">
        <f>Text!$AM$26</f>
        <v>12</v>
      </c>
      <c r="AH124" s="235"/>
      <c r="AI124" s="241"/>
    </row>
    <row r="125" spans="1:39" s="240" customFormat="1" ht="10.4" customHeight="1" thickTop="1" thickBot="1">
      <c r="A125" s="1"/>
      <c r="B125" s="1863"/>
      <c r="C125" s="1937"/>
      <c r="D125" s="1937"/>
      <c r="E125" s="1937"/>
      <c r="F125" s="1"/>
      <c r="G125" s="1145">
        <f>Text!$AQ$26</f>
        <v>121</v>
      </c>
      <c r="H125" s="1995" t="str">
        <f>Text!$AR$26</f>
        <v>Erreichbarkeit &amp; Nutzungsangebot im Quartierumfeld</v>
      </c>
      <c r="I125" s="1996"/>
      <c r="J125" s="1996"/>
      <c r="K125" s="1997"/>
      <c r="M125" s="1151"/>
      <c r="N125" s="2"/>
      <c r="P125" s="145"/>
      <c r="Q125" s="755"/>
      <c r="R125" s="755"/>
      <c r="S125" s="755"/>
      <c r="T125" s="755"/>
      <c r="U125" s="1934" t="str">
        <f>Text!$AU$28</f>
        <v>Abkühlungsangebot im Quartier</v>
      </c>
      <c r="V125" s="1935"/>
      <c r="W125" s="1935"/>
      <c r="X125" s="1935"/>
      <c r="Y125" s="1936"/>
      <c r="Z125" s="1148" t="str">
        <f>Text!$AT$28</f>
        <v>K121</v>
      </c>
      <c r="AA125" s="1405"/>
      <c r="AB125" s="1868"/>
      <c r="AC125" s="1869"/>
      <c r="AD125" s="1869"/>
      <c r="AE125" s="1869"/>
      <c r="AF125" s="1870"/>
      <c r="AG125" s="1874"/>
      <c r="AH125" s="235"/>
      <c r="AI125" s="239"/>
    </row>
    <row r="126" spans="1:39" s="240" customFormat="1" ht="10.4" customHeight="1" thickTop="1" thickBot="1">
      <c r="A126" s="1"/>
      <c r="B126" s="1863"/>
      <c r="C126" s="1937"/>
      <c r="D126" s="1937"/>
      <c r="E126" s="1937"/>
      <c r="F126" s="1"/>
      <c r="G126" s="1145">
        <f>Text!$AQ$27</f>
        <v>122</v>
      </c>
      <c r="H126" s="1995" t="str">
        <f>Text!$AR$27</f>
        <v>Hindernisfreies Bauen</v>
      </c>
      <c r="I126" s="1996"/>
      <c r="J126" s="1996"/>
      <c r="K126" s="1997"/>
      <c r="M126" s="1227"/>
      <c r="N126" s="755"/>
      <c r="O126" s="1228"/>
      <c r="P126" s="145"/>
      <c r="Q126" s="755"/>
      <c r="R126" s="755"/>
      <c r="S126" s="755"/>
      <c r="T126" s="755"/>
      <c r="U126" s="1934" t="str">
        <f>Text!$AU$29</f>
        <v>Bauen mit Abkühlungshilfen</v>
      </c>
      <c r="V126" s="1935"/>
      <c r="W126" s="1935"/>
      <c r="X126" s="1935"/>
      <c r="Y126" s="1936"/>
      <c r="Z126" s="1148" t="str">
        <f>Text!$AT$29</f>
        <v>K122</v>
      </c>
      <c r="AA126" s="1405"/>
      <c r="AB126" s="1868"/>
      <c r="AC126" s="1869"/>
      <c r="AD126" s="1869"/>
      <c r="AE126" s="1869"/>
      <c r="AF126" s="1870"/>
      <c r="AG126" s="1874"/>
      <c r="AH126" s="235"/>
      <c r="AI126" s="241"/>
    </row>
    <row r="127" spans="1:39" s="240" customFormat="1" ht="10.4" customHeight="1" thickBot="1">
      <c r="A127" s="1"/>
      <c r="B127" s="1863"/>
      <c r="C127" s="1937"/>
      <c r="D127" s="1937"/>
      <c r="E127" s="1937"/>
      <c r="F127" s="1"/>
      <c r="G127" s="1"/>
      <c r="H127" s="1"/>
      <c r="I127" s="1"/>
      <c r="J127" s="1"/>
      <c r="N127" s="2"/>
      <c r="O127" s="2"/>
      <c r="P127" s="2"/>
      <c r="Q127" s="755"/>
      <c r="R127" s="755"/>
      <c r="S127" s="755"/>
      <c r="T127" s="755"/>
      <c r="U127" s="1149"/>
      <c r="V127" s="1149"/>
      <c r="W127" s="649"/>
      <c r="X127" s="235"/>
      <c r="Y127" s="235"/>
      <c r="Z127" s="235"/>
      <c r="AA127" s="1405"/>
      <c r="AB127" s="1871"/>
      <c r="AC127" s="1872"/>
      <c r="AD127" s="1872"/>
      <c r="AE127" s="1872"/>
      <c r="AF127" s="1873"/>
      <c r="AG127" s="1874"/>
      <c r="AH127" s="235"/>
      <c r="AI127" s="239"/>
    </row>
    <row r="128" spans="1:39" s="240" customFormat="1" ht="2.15" customHeight="1" thickBot="1">
      <c r="A128" s="1"/>
      <c r="B128" s="1863">
        <f>Text!$AM$28</f>
        <v>13</v>
      </c>
      <c r="C128" s="1937" t="str">
        <f>Text!$BA$25</f>
        <v xml:space="preserve">              Gebrauchsqualität</v>
      </c>
      <c r="D128" s="1937"/>
      <c r="E128" s="1937"/>
      <c r="F128" s="1"/>
      <c r="G128" s="1"/>
      <c r="H128" s="1"/>
      <c r="I128" s="1"/>
      <c r="J128" s="1"/>
      <c r="N128" s="2"/>
      <c r="O128" s="2"/>
      <c r="P128" s="2"/>
      <c r="Q128" s="755"/>
      <c r="R128" s="755"/>
      <c r="S128" s="755"/>
      <c r="T128" s="755"/>
      <c r="U128" s="1229"/>
      <c r="V128" s="1229"/>
      <c r="W128" s="132"/>
      <c r="X128" s="235"/>
      <c r="Y128" s="235"/>
      <c r="Z128" s="235"/>
      <c r="AA128" s="1405"/>
      <c r="AB128" s="1868" t="str">
        <f>Text!$BA$25</f>
        <v xml:space="preserve">              Gebrauchsqualität</v>
      </c>
      <c r="AC128" s="1869"/>
      <c r="AD128" s="1869"/>
      <c r="AE128" s="1869"/>
      <c r="AF128" s="1870"/>
      <c r="AG128" s="1874">
        <f>Text!$AM$28</f>
        <v>13</v>
      </c>
      <c r="AH128" s="235"/>
      <c r="AI128" s="242"/>
    </row>
    <row r="129" spans="1:39" s="240" customFormat="1" ht="10.4" customHeight="1" thickTop="1" thickBot="1">
      <c r="A129" s="1"/>
      <c r="B129" s="1863"/>
      <c r="C129" s="1937"/>
      <c r="D129" s="1937"/>
      <c r="E129" s="1937"/>
      <c r="F129" s="1"/>
      <c r="G129" s="1145">
        <f>Text!$AQ$28</f>
        <v>131</v>
      </c>
      <c r="H129" s="1995" t="str">
        <f>Text!$AR$28</f>
        <v>Räume sozialer Interaktion</v>
      </c>
      <c r="I129" s="1996"/>
      <c r="J129" s="1996"/>
      <c r="K129" s="1997"/>
      <c r="M129" s="1152"/>
      <c r="P129" s="145"/>
      <c r="Q129" s="755"/>
      <c r="R129" s="755"/>
      <c r="S129" s="755"/>
      <c r="T129" s="755"/>
      <c r="U129" s="1934" t="str">
        <f>Text!$AU$30</f>
        <v>Abkühlungsangebot halböffentliche Räume</v>
      </c>
      <c r="V129" s="1935"/>
      <c r="W129" s="1935"/>
      <c r="X129" s="1935"/>
      <c r="Y129" s="1936"/>
      <c r="Z129" s="1148" t="str">
        <f>Text!$AT$30</f>
        <v>K131</v>
      </c>
      <c r="AA129" s="1405"/>
      <c r="AB129" s="1868"/>
      <c r="AC129" s="1869"/>
      <c r="AD129" s="1869"/>
      <c r="AE129" s="1869"/>
      <c r="AF129" s="1870"/>
      <c r="AG129" s="1874"/>
      <c r="AH129" s="235"/>
    </row>
    <row r="130" spans="1:39" s="240" customFormat="1" ht="10.4" customHeight="1" thickTop="1" thickBot="1">
      <c r="A130" s="1"/>
      <c r="B130" s="1863"/>
      <c r="C130" s="1937"/>
      <c r="D130" s="1937"/>
      <c r="E130" s="1937"/>
      <c r="F130" s="1"/>
      <c r="G130" s="1145">
        <f>Text!$AQ$29</f>
        <v>132</v>
      </c>
      <c r="H130" s="1998" t="str">
        <f>Text!$AR$29</f>
        <v>Sicherheit</v>
      </c>
      <c r="I130" s="1999"/>
      <c r="J130" s="1999"/>
      <c r="K130" s="1999"/>
      <c r="M130" s="1227"/>
      <c r="N130" s="755"/>
      <c r="O130" s="1228"/>
      <c r="P130" s="145"/>
      <c r="Q130" s="755"/>
      <c r="R130" s="755"/>
      <c r="S130" s="755"/>
      <c r="T130" s="755"/>
      <c r="U130" s="1149"/>
      <c r="V130" s="1149"/>
      <c r="W130" s="235"/>
      <c r="X130" s="235"/>
      <c r="Y130" s="235"/>
      <c r="Z130" s="235"/>
      <c r="AA130" s="1405"/>
      <c r="AB130" s="1868"/>
      <c r="AC130" s="1869"/>
      <c r="AD130" s="1869"/>
      <c r="AE130" s="1869"/>
      <c r="AF130" s="1870"/>
      <c r="AG130" s="1874"/>
      <c r="AH130" s="235"/>
    </row>
    <row r="131" spans="1:39" s="44" customFormat="1" ht="10.4" customHeight="1" thickBot="1">
      <c r="A131" s="1"/>
      <c r="B131" s="1863"/>
      <c r="C131" s="1937"/>
      <c r="D131" s="1937"/>
      <c r="E131" s="1937"/>
      <c r="F131" s="1"/>
      <c r="G131" s="1"/>
      <c r="H131" s="1"/>
      <c r="I131" s="1"/>
      <c r="J131" s="1"/>
      <c r="K131" s="240"/>
      <c r="L131" s="121"/>
      <c r="M131" s="2"/>
      <c r="N131" s="2"/>
      <c r="O131" s="2"/>
      <c r="P131" s="2"/>
      <c r="Q131" s="755"/>
      <c r="R131" s="755"/>
      <c r="S131" s="755"/>
      <c r="T131" s="755"/>
      <c r="U131" s="755"/>
      <c r="V131" s="755"/>
      <c r="W131" s="235"/>
      <c r="X131" s="235"/>
      <c r="Y131" s="235"/>
      <c r="Z131" s="235"/>
      <c r="AA131" s="1405"/>
      <c r="AB131" s="1871"/>
      <c r="AC131" s="1872"/>
      <c r="AD131" s="1872"/>
      <c r="AE131" s="1872"/>
      <c r="AF131" s="1873"/>
      <c r="AG131" s="1874"/>
      <c r="AH131" s="235"/>
      <c r="AI131" s="243"/>
    </row>
    <row r="132" spans="1:39" s="44" customFormat="1" ht="2.15" customHeight="1" thickBot="1">
      <c r="A132" s="1"/>
      <c r="B132" s="1863">
        <f>Text!$AM$30</f>
        <v>14</v>
      </c>
      <c r="C132" s="1865" t="str">
        <f>Text!$BA$26</f>
        <v xml:space="preserve">           Wohlbefinden &amp; Gesundheit</v>
      </c>
      <c r="D132" s="1866"/>
      <c r="E132" s="1867"/>
      <c r="F132" s="1"/>
      <c r="G132" s="1"/>
      <c r="H132" s="1"/>
      <c r="I132" s="1"/>
      <c r="J132" s="1"/>
      <c r="K132" s="1"/>
      <c r="L132" s="122"/>
      <c r="M132" s="145"/>
      <c r="N132" s="755"/>
      <c r="O132" s="2"/>
      <c r="P132" s="2"/>
      <c r="Q132" s="755"/>
      <c r="R132" s="755"/>
      <c r="S132" s="755"/>
      <c r="T132" s="755"/>
      <c r="U132" s="755"/>
      <c r="V132" s="755"/>
      <c r="W132" s="235"/>
      <c r="X132" s="235"/>
      <c r="Y132" s="235"/>
      <c r="Z132" s="235"/>
      <c r="AA132" s="1405"/>
      <c r="AB132" s="1865" t="str">
        <f>Text!$BA$26</f>
        <v xml:space="preserve">           Wohlbefinden &amp; Gesundheit</v>
      </c>
      <c r="AC132" s="1866"/>
      <c r="AD132" s="1866"/>
      <c r="AE132" s="1866"/>
      <c r="AF132" s="1867"/>
      <c r="AG132" s="1874">
        <f>Text!$AM$30</f>
        <v>14</v>
      </c>
      <c r="AH132" s="235"/>
      <c r="AI132" s="243"/>
    </row>
    <row r="133" spans="1:39" s="44" customFormat="1" ht="10.4" customHeight="1" thickTop="1" thickBot="1">
      <c r="A133" s="1"/>
      <c r="B133" s="1863"/>
      <c r="C133" s="1868"/>
      <c r="D133" s="1869"/>
      <c r="E133" s="1870"/>
      <c r="F133" s="1"/>
      <c r="G133" s="1153" t="str">
        <f>Text!$AQ$30</f>
        <v>141</v>
      </c>
      <c r="H133" s="1995" t="str">
        <f>Text!$AR$30</f>
        <v>Raumluftqualität</v>
      </c>
      <c r="I133" s="1996"/>
      <c r="J133" s="1996"/>
      <c r="K133" s="1997"/>
      <c r="M133" s="1150"/>
      <c r="P133" s="1147"/>
      <c r="S133" s="1152"/>
      <c r="T133" s="18"/>
      <c r="W133" s="1147"/>
      <c r="AA133" s="1406"/>
      <c r="AB133" s="1868"/>
      <c r="AC133" s="1869"/>
      <c r="AD133" s="1869"/>
      <c r="AE133" s="1869"/>
      <c r="AF133" s="1870"/>
      <c r="AG133" s="1874"/>
    </row>
    <row r="134" spans="1:39" s="44" customFormat="1" ht="10.4" customHeight="1" thickTop="1" thickBot="1">
      <c r="A134" s="1"/>
      <c r="B134" s="1863"/>
      <c r="C134" s="1868"/>
      <c r="D134" s="1869"/>
      <c r="E134" s="1870"/>
      <c r="F134" s="1"/>
      <c r="G134" s="1145">
        <f>Text!$AQ$31</f>
        <v>142</v>
      </c>
      <c r="H134" s="1995" t="str">
        <f>Text!$AR$31</f>
        <v>Schadstoffe &amp; Strahlung</v>
      </c>
      <c r="I134" s="1996"/>
      <c r="J134" s="1996"/>
      <c r="K134" s="1997"/>
      <c r="M134" s="1152"/>
      <c r="P134" s="1155"/>
      <c r="S134" s="755"/>
      <c r="T134" s="755"/>
      <c r="U134" s="755"/>
      <c r="V134" s="755"/>
      <c r="W134" s="235"/>
      <c r="X134" s="235"/>
      <c r="Y134" s="235"/>
      <c r="Z134" s="235"/>
      <c r="AA134" s="1405"/>
      <c r="AB134" s="1868"/>
      <c r="AC134" s="1869"/>
      <c r="AD134" s="1869"/>
      <c r="AE134" s="1869"/>
      <c r="AF134" s="1870"/>
      <c r="AG134" s="1874"/>
      <c r="AH134" s="235"/>
      <c r="AI134" s="243"/>
    </row>
    <row r="135" spans="1:39" s="44" customFormat="1" ht="10.4" customHeight="1" thickTop="1" thickBot="1">
      <c r="A135" s="1"/>
      <c r="B135" s="1863"/>
      <c r="C135" s="1868"/>
      <c r="D135" s="1869"/>
      <c r="E135" s="1870"/>
      <c r="F135" s="1"/>
      <c r="G135" s="1154">
        <f>Text!$AQ$32</f>
        <v>143</v>
      </c>
      <c r="H135" s="1995" t="str">
        <f>Text!$AR$32</f>
        <v>Mikroklima</v>
      </c>
      <c r="I135" s="1996"/>
      <c r="J135" s="1996"/>
      <c r="K135" s="1997"/>
      <c r="AA135" s="1406"/>
      <c r="AB135" s="1868"/>
      <c r="AC135" s="1869"/>
      <c r="AD135" s="1869"/>
      <c r="AE135" s="1869"/>
      <c r="AF135" s="1870"/>
      <c r="AG135" s="1874"/>
    </row>
    <row r="136" spans="1:39" ht="10.4" customHeight="1" thickTop="1" thickBot="1">
      <c r="B136" s="1863"/>
      <c r="C136" s="1868"/>
      <c r="D136" s="1869"/>
      <c r="E136" s="1870"/>
      <c r="G136" s="1154">
        <f>Text!$AQ$33</f>
        <v>144</v>
      </c>
      <c r="H136" s="1995" t="str">
        <f>Text!$AR$33</f>
        <v>Sommerlicher Wärmeschutz</v>
      </c>
      <c r="I136" s="1996"/>
      <c r="J136" s="1996"/>
      <c r="K136" s="1997"/>
      <c r="M136" s="235"/>
      <c r="N136" s="235"/>
      <c r="O136" s="235"/>
      <c r="P136" s="235"/>
      <c r="Q136" s="235"/>
      <c r="R136" s="235"/>
      <c r="S136" s="235"/>
      <c r="T136" s="235"/>
      <c r="U136" s="1934" t="str">
        <f>Text!$AU$31</f>
        <v>Behaglichkeit im Klimawandel</v>
      </c>
      <c r="V136" s="1935"/>
      <c r="W136" s="1935"/>
      <c r="X136" s="1935"/>
      <c r="Y136" s="1936"/>
      <c r="Z136" s="1148" t="str">
        <f>Text!$AT$31</f>
        <v>K144</v>
      </c>
      <c r="AA136" s="1405"/>
      <c r="AB136" s="1868"/>
      <c r="AC136" s="1869"/>
      <c r="AD136" s="1869"/>
      <c r="AE136" s="1869"/>
      <c r="AF136" s="1870"/>
      <c r="AG136" s="1874"/>
      <c r="AH136" s="235"/>
      <c r="AI136"/>
      <c r="AJ136"/>
      <c r="AK136"/>
      <c r="AL136"/>
      <c r="AM136"/>
    </row>
    <row r="137" spans="1:39" s="44" customFormat="1" ht="10.4" customHeight="1" thickTop="1" thickBot="1">
      <c r="A137" s="1"/>
      <c r="B137" s="1863"/>
      <c r="C137" s="1868"/>
      <c r="D137" s="1869"/>
      <c r="E137" s="1870"/>
      <c r="F137" s="1"/>
      <c r="G137" s="1154">
        <f>Text!$AQ$34</f>
        <v>145</v>
      </c>
      <c r="H137" s="1995" t="str">
        <f>Text!$AR$34</f>
        <v>Winterlicher Wärmeschutz</v>
      </c>
      <c r="I137" s="1996"/>
      <c r="J137" s="1996"/>
      <c r="K137" s="1997"/>
      <c r="M137" s="1146"/>
      <c r="P137" s="1161"/>
      <c r="S137" s="59"/>
      <c r="T137" s="59"/>
      <c r="U137" s="1237"/>
      <c r="V137" s="1237"/>
      <c r="W137" s="235"/>
      <c r="X137" s="235"/>
      <c r="Y137" s="235"/>
      <c r="Z137" s="235"/>
      <c r="AA137" s="1404"/>
      <c r="AB137" s="1868"/>
      <c r="AC137" s="1869"/>
      <c r="AD137" s="1869"/>
      <c r="AE137" s="1869"/>
      <c r="AF137" s="1870"/>
      <c r="AG137" s="1874"/>
      <c r="AH137" s="236"/>
      <c r="AI137" s="237"/>
      <c r="AJ137" s="238"/>
      <c r="AK137" s="238"/>
      <c r="AL137" s="238"/>
      <c r="AM137" s="238"/>
    </row>
    <row r="138" spans="1:39" s="240" customFormat="1" ht="10.4" customHeight="1" thickTop="1" thickBot="1">
      <c r="A138" s="1"/>
      <c r="B138" s="1863"/>
      <c r="C138" s="1868"/>
      <c r="D138" s="1869"/>
      <c r="E138" s="1870"/>
      <c r="F138" s="1"/>
      <c r="G138" s="1145">
        <f>Text!$AQ$35</f>
        <v>146</v>
      </c>
      <c r="H138" s="1998" t="str">
        <f>Text!$AR$35</f>
        <v>Tageslicht</v>
      </c>
      <c r="I138" s="1999"/>
      <c r="J138" s="1999"/>
      <c r="K138" s="1999"/>
      <c r="M138" s="2"/>
      <c r="N138" s="2"/>
      <c r="O138" s="2"/>
      <c r="P138" s="2"/>
      <c r="Q138" s="2"/>
      <c r="S138" s="59"/>
      <c r="T138" s="59"/>
      <c r="U138" s="1934" t="str">
        <f>Text!$AU$32</f>
        <v>Visueller Komfort im Klimawandel</v>
      </c>
      <c r="V138" s="1935"/>
      <c r="W138" s="1935"/>
      <c r="X138" s="1935"/>
      <c r="Y138" s="1936"/>
      <c r="Z138" s="1148" t="str">
        <f>Text!$AT$32</f>
        <v>K146</v>
      </c>
      <c r="AA138" s="1405"/>
      <c r="AB138" s="1868"/>
      <c r="AC138" s="1869"/>
      <c r="AD138" s="1869"/>
      <c r="AE138" s="1869"/>
      <c r="AF138" s="1870"/>
      <c r="AG138" s="1874"/>
      <c r="AH138" s="235"/>
      <c r="AI138" s="239"/>
    </row>
    <row r="139" spans="1:39" s="240" customFormat="1" ht="10.4" customHeight="1" thickTop="1" thickBot="1">
      <c r="A139" s="1"/>
      <c r="B139" s="1864"/>
      <c r="C139" s="1871"/>
      <c r="D139" s="1872"/>
      <c r="E139" s="1873"/>
      <c r="F139" s="1"/>
      <c r="G139" s="1145">
        <f>Text!$AQ$36</f>
        <v>147</v>
      </c>
      <c r="H139" s="1995" t="str">
        <f>Text!$AR$36</f>
        <v>Schallschutz</v>
      </c>
      <c r="I139" s="1996"/>
      <c r="J139" s="1996"/>
      <c r="K139" s="1996"/>
      <c r="N139" s="2"/>
      <c r="O139" s="2"/>
      <c r="P139" s="2"/>
      <c r="Q139" s="2"/>
      <c r="R139" s="2"/>
      <c r="S139" s="59"/>
      <c r="T139" s="59"/>
      <c r="U139" s="1236"/>
      <c r="V139" s="1236"/>
      <c r="W139" s="235"/>
      <c r="X139" s="235"/>
      <c r="Y139" s="235"/>
      <c r="Z139" s="235"/>
      <c r="AA139" s="1405"/>
      <c r="AB139" s="1871"/>
      <c r="AC139" s="1872"/>
      <c r="AD139" s="1872"/>
      <c r="AE139" s="1872"/>
      <c r="AF139" s="1873"/>
      <c r="AG139" s="1875"/>
      <c r="AH139" s="235"/>
      <c r="AI139" s="241"/>
    </row>
    <row r="140" spans="1:39" s="240" customFormat="1" ht="2.15" customHeight="1" thickTop="1">
      <c r="A140" s="1"/>
      <c r="B140" s="1"/>
      <c r="C140" s="1"/>
      <c r="D140" s="1"/>
      <c r="E140" s="1"/>
      <c r="F140" s="1"/>
      <c r="G140" s="1"/>
      <c r="H140" s="1"/>
      <c r="I140" s="1"/>
      <c r="J140" s="1"/>
      <c r="N140" s="2"/>
      <c r="O140" s="2"/>
      <c r="P140" s="2"/>
      <c r="Q140" s="2"/>
      <c r="R140" s="2"/>
      <c r="S140" s="59"/>
      <c r="T140" s="59"/>
      <c r="U140" s="59"/>
      <c r="V140" s="59"/>
      <c r="W140" s="235"/>
      <c r="X140" s="235"/>
      <c r="Y140" s="235"/>
      <c r="Z140" s="235"/>
      <c r="AA140" s="235"/>
      <c r="AB140" s="235"/>
      <c r="AC140" s="236"/>
      <c r="AD140" s="236"/>
      <c r="AE140" s="236"/>
      <c r="AF140" s="236"/>
      <c r="AG140" s="236"/>
      <c r="AH140" s="235"/>
      <c r="AI140" s="241"/>
    </row>
    <row r="141" spans="1:39" s="240" customFormat="1" ht="10.4" customHeight="1">
      <c r="A141" s="1"/>
      <c r="B141" s="1"/>
      <c r="C141" s="1"/>
      <c r="D141" s="1"/>
      <c r="E141" s="1"/>
      <c r="F141" s="1"/>
      <c r="G141" s="1"/>
      <c r="H141" s="1"/>
      <c r="I141" s="1"/>
      <c r="J141" s="1"/>
      <c r="K141" s="1"/>
      <c r="L141" s="1"/>
      <c r="M141" s="1"/>
      <c r="N141" s="1"/>
      <c r="O141" s="1"/>
      <c r="P141" s="1"/>
      <c r="Q141" s="1"/>
      <c r="R141" s="1"/>
      <c r="S141" s="1"/>
      <c r="T141" s="1"/>
      <c r="U141" s="1"/>
      <c r="V141" s="1"/>
      <c r="W141" s="1"/>
      <c r="X141" s="235"/>
      <c r="Y141" s="235"/>
      <c r="Z141" s="235"/>
      <c r="AA141" s="235"/>
      <c r="AB141" s="236"/>
      <c r="AC141" s="236"/>
      <c r="AD141" s="236"/>
      <c r="AE141" s="236"/>
      <c r="AF141" s="236"/>
      <c r="AG141" s="235"/>
      <c r="AH141" s="235"/>
      <c r="AI141" s="239"/>
    </row>
    <row r="142" spans="1:39" s="240" customFormat="1" ht="30" customHeight="1">
      <c r="A142" s="1"/>
      <c r="B142" s="1853" t="str">
        <f>Text!$AK$38</f>
        <v>Wirtschaft</v>
      </c>
      <c r="C142" s="1853"/>
      <c r="D142" s="1853"/>
      <c r="E142" s="1853"/>
      <c r="F142" s="1252"/>
      <c r="G142" s="1989" t="str">
        <f>Text!C$569</f>
        <v>Im Bereich ''Wirtschaft'' wird ein Erfüllungsgrad von 0% erzielt</v>
      </c>
      <c r="H142" s="1989"/>
      <c r="I142" s="1989"/>
      <c r="J142" s="1989"/>
      <c r="K142" s="1989"/>
      <c r="L142" s="1304"/>
      <c r="M142" s="1957"/>
      <c r="N142" s="1957"/>
      <c r="O142" s="1957"/>
      <c r="P142" s="1"/>
      <c r="Q142" s="1854"/>
      <c r="R142" s="1854"/>
      <c r="S142" s="14"/>
      <c r="T142" s="14"/>
      <c r="U142" s="1989" t="str">
        <f>Text!C$572</f>
        <v>Im Bereich ''Wirtschaft'' wird ein Erfüllungsgrad von 0% erzielt</v>
      </c>
      <c r="V142" s="1989"/>
      <c r="W142" s="1989"/>
      <c r="X142" s="1989"/>
      <c r="Y142" s="1989"/>
      <c r="Z142" s="1989"/>
      <c r="AA142" s="1252"/>
      <c r="AB142" s="1853" t="str">
        <f>Text!$AK$38</f>
        <v>Wirtschaft</v>
      </c>
      <c r="AC142" s="1853"/>
      <c r="AD142" s="1853"/>
      <c r="AE142" s="1853"/>
      <c r="AF142" s="1853"/>
      <c r="AG142" s="1853"/>
      <c r="AH142" s="235"/>
      <c r="AI142" s="241"/>
    </row>
    <row r="143" spans="1:39" s="240" customFormat="1" ht="10.4" customHeight="1" thickBot="1">
      <c r="A143" s="1"/>
      <c r="B143" s="1"/>
      <c r="C143" s="1"/>
      <c r="D143" s="1"/>
      <c r="E143" s="1"/>
      <c r="F143" s="1"/>
      <c r="G143" s="1"/>
      <c r="H143" s="1"/>
      <c r="I143" s="1"/>
      <c r="J143" s="1"/>
      <c r="K143" s="1"/>
      <c r="L143"/>
      <c r="M143" s="1"/>
      <c r="N143" s="1"/>
      <c r="O143" s="1"/>
      <c r="P143" s="1"/>
      <c r="Q143" s="1"/>
      <c r="R143" s="1"/>
      <c r="S143" s="1"/>
      <c r="T143" s="1"/>
      <c r="U143" s="1"/>
      <c r="V143" s="1"/>
      <c r="W143" s="1"/>
      <c r="X143" s="235"/>
      <c r="Y143" s="235"/>
      <c r="Z143" s="235"/>
      <c r="AA143" s="235"/>
      <c r="AB143" s="235"/>
      <c r="AC143" s="235"/>
      <c r="AD143" s="235"/>
      <c r="AE143" s="235"/>
      <c r="AF143" s="235"/>
      <c r="AG143" s="235"/>
      <c r="AH143" s="235"/>
    </row>
    <row r="144" spans="1:39" s="240" customFormat="1" ht="2.15" customHeight="1" thickTop="1" thickBot="1">
      <c r="A144" s="1"/>
      <c r="B144" s="1855">
        <f>Text!$AM$38</f>
        <v>21</v>
      </c>
      <c r="C144" s="1856" t="str">
        <f>Text!$BA$28</f>
        <v xml:space="preserve">               Lebenszyklus</v>
      </c>
      <c r="D144" s="1857"/>
      <c r="E144" s="1858"/>
      <c r="F144" s="1"/>
      <c r="G144" s="1"/>
      <c r="H144" s="1"/>
      <c r="I144" s="1"/>
      <c r="J144" s="1"/>
      <c r="L144" s="1305"/>
      <c r="N144" s="2"/>
      <c r="O144" s="2"/>
      <c r="P144" s="2"/>
      <c r="Q144" s="2"/>
      <c r="R144" s="2"/>
      <c r="S144" s="59"/>
      <c r="T144" s="59"/>
      <c r="U144" s="235"/>
      <c r="V144" s="1237"/>
      <c r="W144" s="235"/>
      <c r="X144" s="235"/>
      <c r="Y144" s="235"/>
      <c r="Z144" s="235"/>
      <c r="AA144" s="235"/>
      <c r="AB144" s="1859" t="str">
        <f>Text!$BA$28</f>
        <v xml:space="preserve">               Lebenszyklus</v>
      </c>
      <c r="AC144" s="1860"/>
      <c r="AD144" s="1860"/>
      <c r="AE144" s="1860"/>
      <c r="AF144" s="1861"/>
      <c r="AG144" s="1883">
        <f>Text!$AM$38</f>
        <v>21</v>
      </c>
      <c r="AH144" s="235"/>
    </row>
    <row r="145" spans="1:36" s="44" customFormat="1" ht="10.4" customHeight="1" thickTop="1" thickBot="1">
      <c r="A145" s="1"/>
      <c r="B145" s="1847"/>
      <c r="C145" s="1856"/>
      <c r="D145" s="1857"/>
      <c r="E145" s="1858"/>
      <c r="F145" s="1"/>
      <c r="G145" s="1145">
        <f>Text!$AQ$38</f>
        <v>211</v>
      </c>
      <c r="H145" s="1908" t="str">
        <f>Text!$AR$38</f>
        <v>Lebenszykluskosten</v>
      </c>
      <c r="I145" s="1909"/>
      <c r="J145" s="1909"/>
      <c r="K145" s="1910"/>
      <c r="L145" s="1306"/>
      <c r="M145" s="1151"/>
      <c r="N145" s="240"/>
      <c r="O145" s="240"/>
      <c r="P145" s="145"/>
      <c r="Q145" s="755"/>
      <c r="R145" s="755"/>
      <c r="S145" s="755"/>
      <c r="T145" s="1228"/>
      <c r="U145" s="1911" t="str">
        <f>Text!$AU$38</f>
        <v>Lebenszyklusbetrachtung im Klimawandel</v>
      </c>
      <c r="V145" s="1911"/>
      <c r="W145" s="1911"/>
      <c r="X145" s="1911"/>
      <c r="Y145" s="1911"/>
      <c r="Z145" s="1148" t="str">
        <f>Text!$AT$38</f>
        <v>K211</v>
      </c>
      <c r="AA145" s="235"/>
      <c r="AB145" s="1859"/>
      <c r="AC145" s="1860"/>
      <c r="AD145" s="1860"/>
      <c r="AE145" s="1860"/>
      <c r="AF145" s="1861"/>
      <c r="AG145" s="1884"/>
      <c r="AH145" s="235"/>
      <c r="AI145" s="243"/>
    </row>
    <row r="146" spans="1:36" s="44" customFormat="1" ht="10.4" customHeight="1" thickTop="1" thickBot="1">
      <c r="A146" s="1"/>
      <c r="B146" s="1847"/>
      <c r="C146" s="1856"/>
      <c r="D146" s="1857"/>
      <c r="E146" s="1858"/>
      <c r="F146" s="1"/>
      <c r="G146" s="1145">
        <f>Text!$AQ$39</f>
        <v>212</v>
      </c>
      <c r="H146" s="1990" t="str">
        <f>Text!$AR$39</f>
        <v>Bewirtschaftungsgerechte Planung &amp; Realisierung</v>
      </c>
      <c r="I146" s="1991"/>
      <c r="J146" s="1991"/>
      <c r="K146" s="1992"/>
      <c r="L146" s="1306"/>
      <c r="M146" s="219"/>
      <c r="N146" s="240"/>
      <c r="O146" s="240"/>
      <c r="P146" s="145"/>
      <c r="Q146" s="755"/>
      <c r="R146" s="755"/>
      <c r="S146" s="755"/>
      <c r="T146" s="755"/>
      <c r="U146" s="236"/>
      <c r="V146" s="1238"/>
      <c r="W146" s="236"/>
      <c r="X146" s="236"/>
      <c r="Y146" s="236"/>
      <c r="Z146" s="236"/>
      <c r="AA146" s="235"/>
      <c r="AB146" s="1859"/>
      <c r="AC146" s="1860"/>
      <c r="AD146" s="1860"/>
      <c r="AE146" s="1860"/>
      <c r="AF146" s="1861"/>
      <c r="AG146" s="1884"/>
      <c r="AH146" s="235"/>
      <c r="AI146" s="243"/>
    </row>
    <row r="147" spans="1:36" s="44" customFormat="1" ht="10.4" customHeight="1" thickTop="1" thickBot="1">
      <c r="A147" s="1"/>
      <c r="B147" s="1847"/>
      <c r="C147" s="1856"/>
      <c r="D147" s="1857"/>
      <c r="E147" s="1858"/>
      <c r="F147" s="1"/>
      <c r="G147" s="1154">
        <f>Text!$AQ$40</f>
        <v>213</v>
      </c>
      <c r="H147" s="1912" t="str">
        <f>Text!$AR$40</f>
        <v>Wiederverwendung &amp; Systemtrennung</v>
      </c>
      <c r="I147" s="1913"/>
      <c r="J147" s="1913"/>
      <c r="K147" s="1914"/>
      <c r="L147" s="1306"/>
      <c r="M147" s="1227"/>
      <c r="N147" s="755"/>
      <c r="O147" s="1228"/>
      <c r="P147" s="145"/>
      <c r="Q147" s="755"/>
      <c r="R147" s="755"/>
      <c r="S147" s="755"/>
      <c r="T147" s="755"/>
      <c r="U147" s="1149"/>
      <c r="V147" s="1149"/>
      <c r="W147" s="1149"/>
      <c r="X147" s="236"/>
      <c r="Y147" s="236"/>
      <c r="Z147" s="236"/>
      <c r="AA147" s="235"/>
      <c r="AB147" s="1859"/>
      <c r="AC147" s="1860"/>
      <c r="AD147" s="1860"/>
      <c r="AE147" s="1860"/>
      <c r="AF147" s="1861"/>
      <c r="AG147" s="1884"/>
      <c r="AH147" s="235"/>
      <c r="AI147" s="243"/>
    </row>
    <row r="148" spans="1:36" s="44" customFormat="1" ht="2.15" customHeight="1" thickBot="1">
      <c r="A148" s="1"/>
      <c r="B148" s="1847"/>
      <c r="C148" s="1856"/>
      <c r="D148" s="1857"/>
      <c r="E148" s="1858"/>
      <c r="F148" s="1"/>
      <c r="G148" s="1"/>
      <c r="H148" s="1"/>
      <c r="I148" s="1"/>
      <c r="J148" s="1"/>
      <c r="K148" s="240"/>
      <c r="L148" s="240"/>
      <c r="M148" s="240"/>
      <c r="N148" s="2"/>
      <c r="O148" s="2"/>
      <c r="P148" s="2"/>
      <c r="Q148" s="755"/>
      <c r="R148" s="755"/>
      <c r="S148" s="755"/>
      <c r="T148" s="755"/>
      <c r="U148" s="1149"/>
      <c r="V148" s="1149"/>
      <c r="W148" s="1149"/>
      <c r="X148" s="236"/>
      <c r="Y148" s="236"/>
      <c r="Z148" s="236"/>
      <c r="AA148" s="235"/>
      <c r="AB148" s="2011" t="str">
        <f>Text!$BA$29</f>
        <v xml:space="preserve">               Nutzbarkeit</v>
      </c>
      <c r="AC148" s="2012"/>
      <c r="AD148" s="2012"/>
      <c r="AE148" s="2012"/>
      <c r="AF148" s="2013"/>
      <c r="AG148" s="1884">
        <f>Text!$AM$41</f>
        <v>22</v>
      </c>
    </row>
    <row r="149" spans="1:36" s="44" customFormat="1" ht="10.4" customHeight="1" thickTop="1" thickBot="1">
      <c r="A149" s="1"/>
      <c r="B149" s="1847">
        <f>Text!$AM$41</f>
        <v>22</v>
      </c>
      <c r="C149" s="2017" t="str">
        <f>Text!$BA$29</f>
        <v xml:space="preserve">               Nutzbarkeit</v>
      </c>
      <c r="D149" s="2018"/>
      <c r="E149" s="2019"/>
      <c r="F149" s="1"/>
      <c r="G149" s="1145">
        <f>Text!$AQ$41</f>
        <v>221</v>
      </c>
      <c r="H149" s="1908" t="str">
        <f>Text!$AR$41</f>
        <v>Naturgefahren</v>
      </c>
      <c r="I149" s="1909"/>
      <c r="J149" s="1909"/>
      <c r="K149" s="1910"/>
      <c r="L149" s="1306"/>
      <c r="M149" s="240"/>
      <c r="N149" s="2"/>
      <c r="O149" s="2"/>
      <c r="P149" s="2"/>
      <c r="Q149" s="2"/>
      <c r="R149" s="2"/>
      <c r="S149" s="59"/>
      <c r="T149" s="59"/>
      <c r="U149" s="1928" t="str">
        <f>Text!$AU$39</f>
        <v>Standort &amp; Klimawandel</v>
      </c>
      <c r="V149" s="1929"/>
      <c r="W149" s="1929"/>
      <c r="X149" s="1929"/>
      <c r="Y149" s="1930"/>
      <c r="Z149" s="1148" t="str">
        <f>Text!$AT$39</f>
        <v>K221</v>
      </c>
      <c r="AA149" s="235"/>
      <c r="AB149" s="2011"/>
      <c r="AC149" s="2012"/>
      <c r="AD149" s="2012"/>
      <c r="AE149" s="2012"/>
      <c r="AF149" s="2013"/>
      <c r="AG149" s="1884"/>
      <c r="AH149" s="235"/>
      <c r="AI149" s="243"/>
    </row>
    <row r="150" spans="1:36" s="44" customFormat="1" ht="10.4" customHeight="1" thickTop="1" thickBot="1">
      <c r="A150" s="1"/>
      <c r="B150" s="1847"/>
      <c r="C150" s="2017"/>
      <c r="D150" s="2018"/>
      <c r="E150" s="2019"/>
      <c r="F150" s="1"/>
      <c r="G150" s="1145">
        <f>Text!$AQ$42</f>
        <v>222</v>
      </c>
      <c r="H150" s="1990" t="str">
        <f>Text!$AR$42</f>
        <v>Nutzungsdichte</v>
      </c>
      <c r="I150" s="1991"/>
      <c r="J150" s="1991"/>
      <c r="K150" s="1992"/>
      <c r="L150" s="1306"/>
      <c r="M150" s="1151"/>
      <c r="N150" s="240"/>
      <c r="O150" s="240"/>
      <c r="P150" s="145"/>
      <c r="Q150" s="755"/>
      <c r="R150" s="755"/>
      <c r="S150" s="755"/>
      <c r="T150" s="755"/>
      <c r="U150" s="1149"/>
      <c r="V150" s="1149"/>
      <c r="W150" s="649"/>
      <c r="X150" s="235"/>
      <c r="Y150" s="235"/>
      <c r="Z150" s="235"/>
      <c r="AA150" s="235"/>
      <c r="AB150" s="2011"/>
      <c r="AC150" s="2012"/>
      <c r="AD150" s="2012"/>
      <c r="AE150" s="2012"/>
      <c r="AF150" s="2013"/>
      <c r="AG150" s="1884"/>
    </row>
    <row r="151" spans="1:36" s="44" customFormat="1" ht="10" customHeight="1" thickTop="1" thickBot="1">
      <c r="A151" s="1"/>
      <c r="B151" s="1847"/>
      <c r="C151" s="2017"/>
      <c r="D151" s="2018"/>
      <c r="E151" s="2019"/>
      <c r="F151" s="1"/>
      <c r="G151" s="1154">
        <f>Text!$AQ$43</f>
        <v>223</v>
      </c>
      <c r="H151" s="1912" t="str">
        <f>Text!$AR$43</f>
        <v>Nutzungsflexibilität &amp; -variabilität</v>
      </c>
      <c r="I151" s="1913"/>
      <c r="J151" s="1913"/>
      <c r="K151" s="1914"/>
      <c r="L151" s="1306"/>
      <c r="M151" s="1227"/>
      <c r="N151" s="755"/>
      <c r="O151" s="1228"/>
      <c r="P151" s="145"/>
      <c r="Q151" s="755"/>
      <c r="R151" s="755"/>
      <c r="S151" s="755"/>
      <c r="T151" s="755"/>
      <c r="U151" s="1911" t="str">
        <f>Text!$AU$40</f>
        <v>Klima-Flexibilität &amp; Gebrauchstauglichkeit</v>
      </c>
      <c r="V151" s="1911"/>
      <c r="W151" s="1911"/>
      <c r="X151" s="1911"/>
      <c r="Y151" s="1911"/>
      <c r="Z151" s="1148" t="str">
        <f>Text!$AT$40</f>
        <v>K223</v>
      </c>
      <c r="AA151" s="235"/>
      <c r="AB151" s="2011"/>
      <c r="AC151" s="2012"/>
      <c r="AD151" s="2012"/>
      <c r="AE151" s="2012"/>
      <c r="AF151" s="2013"/>
      <c r="AG151" s="1915"/>
      <c r="AH151" s="235"/>
      <c r="AI151" s="241"/>
      <c r="AJ151" s="241"/>
    </row>
    <row r="152" spans="1:36" s="44" customFormat="1" ht="2.15" customHeight="1" thickBot="1">
      <c r="A152" s="1"/>
      <c r="B152" s="1847">
        <f>Text!$AM$44</f>
        <v>23</v>
      </c>
      <c r="C152" s="1849" t="str">
        <f>Text!$BA$30</f>
        <v xml:space="preserve">               Regionalökonomie</v>
      </c>
      <c r="D152" s="1850"/>
      <c r="E152" s="1851"/>
      <c r="F152" s="1"/>
      <c r="G152" s="1"/>
      <c r="H152" s="1"/>
      <c r="I152" s="1"/>
      <c r="J152" s="1"/>
      <c r="K152" s="240"/>
      <c r="L152" s="240"/>
      <c r="M152" s="240"/>
      <c r="N152" s="2"/>
      <c r="O152" s="2"/>
      <c r="P152" s="2"/>
      <c r="Q152" s="755"/>
      <c r="R152" s="755"/>
      <c r="S152" s="755"/>
      <c r="T152" s="755"/>
      <c r="U152" s="1149"/>
      <c r="V152" s="1149"/>
      <c r="W152" s="649"/>
      <c r="X152" s="235"/>
      <c r="Y152" s="235"/>
      <c r="Z152" s="235"/>
      <c r="AA152" s="235"/>
      <c r="AB152" s="2014"/>
      <c r="AC152" s="2014"/>
      <c r="AD152" s="2014"/>
      <c r="AE152" s="2014"/>
      <c r="AF152" s="2014"/>
      <c r="AG152" s="2020"/>
    </row>
    <row r="153" spans="1:36" ht="10.4" customHeight="1" thickTop="1" thickBot="1">
      <c r="B153" s="1847"/>
      <c r="C153" s="1849"/>
      <c r="D153" s="1850"/>
      <c r="E153" s="1851"/>
      <c r="G153" s="1145">
        <f>Text!$AQ$44</f>
        <v>231</v>
      </c>
      <c r="H153" s="1985" t="str">
        <f>Text!$AR$44</f>
        <v>Regionale Wertschöpfung</v>
      </c>
      <c r="I153" s="1986"/>
      <c r="J153" s="1986"/>
      <c r="K153" s="1987"/>
      <c r="L153" s="1306"/>
      <c r="M153" s="240"/>
      <c r="N153" s="2"/>
      <c r="O153" s="2"/>
      <c r="P153" s="2"/>
      <c r="Q153" s="2"/>
      <c r="R153" s="2"/>
      <c r="S153" s="59"/>
      <c r="T153" s="59"/>
      <c r="AA153" s="235"/>
      <c r="AB153" s="2015"/>
      <c r="AC153" s="2015"/>
      <c r="AD153" s="2015"/>
      <c r="AE153" s="2015"/>
      <c r="AF153" s="2015"/>
      <c r="AG153" s="2021"/>
    </row>
    <row r="154" spans="1:36" ht="10.4" customHeight="1" thickBot="1">
      <c r="B154" s="1847"/>
      <c r="C154" s="1849"/>
      <c r="D154" s="1850"/>
      <c r="E154" s="1851"/>
      <c r="K154" s="240"/>
      <c r="L154" s="240"/>
      <c r="M154" s="240"/>
      <c r="N154" s="2"/>
      <c r="O154" s="2"/>
      <c r="P154" s="2"/>
      <c r="Q154" s="2"/>
      <c r="R154" s="2"/>
      <c r="S154" s="59"/>
      <c r="T154" s="59"/>
      <c r="U154" s="235"/>
      <c r="V154" s="1237"/>
      <c r="W154" s="235"/>
      <c r="X154" s="235"/>
      <c r="Y154" s="235"/>
      <c r="Z154" s="235"/>
      <c r="AA154" s="235"/>
      <c r="AB154" s="2015"/>
      <c r="AC154" s="2015"/>
      <c r="AD154" s="2015"/>
      <c r="AE154" s="2015"/>
      <c r="AF154" s="2015"/>
      <c r="AG154" s="2021"/>
    </row>
    <row r="155" spans="1:36" ht="10.4" customHeight="1" thickBot="1">
      <c r="B155" s="1848"/>
      <c r="C155" s="1849"/>
      <c r="D155" s="1850"/>
      <c r="E155" s="1851"/>
      <c r="K155" s="240"/>
      <c r="L155" s="240"/>
      <c r="M155" s="240"/>
      <c r="N155" s="2"/>
      <c r="O155" s="2"/>
      <c r="P155" s="2"/>
      <c r="Q155" s="755"/>
      <c r="R155" s="755"/>
      <c r="S155" s="755"/>
      <c r="T155" s="1228"/>
      <c r="AA155" s="235"/>
      <c r="AB155" s="2016"/>
      <c r="AC155" s="2016"/>
      <c r="AD155" s="2016"/>
      <c r="AE155" s="2016"/>
      <c r="AF155" s="2016"/>
      <c r="AG155" s="2022"/>
    </row>
    <row r="156" spans="1:36" ht="10.4" customHeight="1" thickTop="1"/>
    <row r="157" spans="1:36" ht="30" customHeight="1">
      <c r="B157" s="1891" t="str">
        <f>Text!$AK$46</f>
        <v>Umwelt</v>
      </c>
      <c r="C157" s="1891"/>
      <c r="D157" s="1891"/>
      <c r="E157" s="1891"/>
      <c r="F157" s="1249"/>
      <c r="G157" s="1988" t="str">
        <f>Text!C$570</f>
        <v>Im Bereich ''Umwelt'' wird ein Erfüllungsgrad von 0% erzielt</v>
      </c>
      <c r="H157" s="1988"/>
      <c r="I157" s="1988"/>
      <c r="J157" s="1988"/>
      <c r="K157" s="1988"/>
      <c r="L157" s="1304"/>
      <c r="M157" s="1957"/>
      <c r="N157" s="1957"/>
      <c r="O157" s="1957"/>
      <c r="Q157" s="1854"/>
      <c r="R157" s="1854"/>
      <c r="S157" s="14"/>
      <c r="T157" s="14"/>
      <c r="U157" s="1988" t="str">
        <f>Text!C$573</f>
        <v>Im Bereich ''Umwelt'' wird ein Erfüllungsgrad von 0% erzielt</v>
      </c>
      <c r="V157" s="1988"/>
      <c r="W157" s="1988"/>
      <c r="X157" s="1988"/>
      <c r="Y157" s="1988"/>
      <c r="Z157" s="1988"/>
      <c r="AA157" s="1249"/>
      <c r="AB157" s="1891" t="str">
        <f>Text!$AK$46</f>
        <v>Umwelt</v>
      </c>
      <c r="AC157" s="1891"/>
      <c r="AD157" s="1891"/>
      <c r="AE157" s="1891"/>
      <c r="AF157" s="1891"/>
      <c r="AG157" s="1891"/>
    </row>
    <row r="158" spans="1:36" ht="10.4" customHeight="1" thickBot="1">
      <c r="AA158" s="1"/>
    </row>
    <row r="159" spans="1:36" s="240" customFormat="1" ht="2.15" customHeight="1" thickTop="1" thickBot="1">
      <c r="A159" s="1"/>
      <c r="B159" s="1882">
        <f>Text!$AM$46</f>
        <v>31</v>
      </c>
      <c r="C159" s="1835" t="str">
        <f>Text!$BA$33</f>
        <v xml:space="preserve">               Klimaschutz</v>
      </c>
      <c r="D159" s="1836"/>
      <c r="E159" s="1837"/>
      <c r="F159" s="1"/>
      <c r="G159" s="1"/>
      <c r="H159" s="1"/>
      <c r="I159" s="1"/>
      <c r="J159" s="1"/>
      <c r="N159" s="2"/>
      <c r="O159" s="2"/>
      <c r="P159" s="2"/>
      <c r="Q159" s="2"/>
      <c r="R159" s="2"/>
      <c r="S159" s="59"/>
      <c r="T159" s="59"/>
      <c r="U159" s="235"/>
      <c r="V159" s="1237"/>
      <c r="W159" s="235"/>
      <c r="X159" s="235"/>
      <c r="Y159" s="235"/>
      <c r="Z159" s="235"/>
      <c r="AA159" s="235"/>
      <c r="AB159" s="1844" t="str">
        <f>Text!$BA$33</f>
        <v xml:space="preserve">               Klimaschutz</v>
      </c>
      <c r="AC159" s="1845"/>
      <c r="AD159" s="1845"/>
      <c r="AE159" s="1845"/>
      <c r="AF159" s="1846"/>
      <c r="AG159" s="1883">
        <f>Text!$AM$46</f>
        <v>31</v>
      </c>
      <c r="AH159" s="235"/>
    </row>
    <row r="160" spans="1:36" s="44" customFormat="1" ht="10.4" customHeight="1" thickTop="1" thickBot="1">
      <c r="A160" s="1"/>
      <c r="B160" s="1833"/>
      <c r="C160" s="1838"/>
      <c r="D160" s="1839"/>
      <c r="E160" s="1840"/>
      <c r="F160" s="1"/>
      <c r="G160" s="1145">
        <f>Text!$AQ$46</f>
        <v>311</v>
      </c>
      <c r="H160" s="1885" t="str">
        <f>Text!$AR$46</f>
        <v>Treibhausgasemissionen Erstellung</v>
      </c>
      <c r="I160" s="1886"/>
      <c r="J160" s="1886"/>
      <c r="K160" s="1887"/>
      <c r="L160" s="1306"/>
      <c r="M160" s="1151"/>
      <c r="N160" s="240"/>
      <c r="O160" s="240"/>
      <c r="P160" s="145"/>
      <c r="Q160" s="755"/>
      <c r="R160" s="755"/>
      <c r="S160" s="755"/>
      <c r="T160" s="1228"/>
      <c r="AA160" s="235"/>
      <c r="AB160" s="1844"/>
      <c r="AC160" s="1845"/>
      <c r="AD160" s="1845"/>
      <c r="AE160" s="1845"/>
      <c r="AF160" s="1846"/>
      <c r="AG160" s="1884"/>
      <c r="AH160" s="235"/>
      <c r="AI160" s="243"/>
    </row>
    <row r="161" spans="1:36" s="44" customFormat="1" ht="10.4" customHeight="1" thickTop="1" thickBot="1">
      <c r="A161" s="1"/>
      <c r="B161" s="1833"/>
      <c r="C161" s="1838"/>
      <c r="D161" s="1839"/>
      <c r="E161" s="1840"/>
      <c r="F161" s="1"/>
      <c r="G161" s="1145">
        <f>Text!$AQ$47</f>
        <v>312</v>
      </c>
      <c r="H161" s="1885" t="str">
        <f>Text!$AR$47</f>
        <v>Treibhausgasemissionen Betrieb</v>
      </c>
      <c r="I161" s="1886"/>
      <c r="J161" s="1886"/>
      <c r="K161" s="1887"/>
      <c r="L161" s="1306"/>
      <c r="M161" s="219"/>
      <c r="N161" s="240"/>
      <c r="O161" s="240"/>
      <c r="P161" s="145"/>
      <c r="Q161" s="755"/>
      <c r="R161" s="755"/>
      <c r="S161" s="755"/>
      <c r="T161" s="755"/>
      <c r="U161" s="1888" t="str">
        <f>Text!$AU$46</f>
        <v>THGE im Klimawandel</v>
      </c>
      <c r="V161" s="1889"/>
      <c r="W161" s="1889"/>
      <c r="X161" s="1889"/>
      <c r="Y161" s="1890"/>
      <c r="Z161" s="1138" t="str">
        <f>Text!$AT$46</f>
        <v>K312</v>
      </c>
      <c r="AA161" s="235"/>
      <c r="AB161" s="1844"/>
      <c r="AC161" s="1845"/>
      <c r="AD161" s="1845"/>
      <c r="AE161" s="1845"/>
      <c r="AF161" s="1846"/>
      <c r="AG161" s="1884"/>
      <c r="AH161" s="235"/>
      <c r="AI161" s="243"/>
    </row>
    <row r="162" spans="1:36" s="44" customFormat="1" ht="10.4" customHeight="1" thickTop="1" thickBot="1">
      <c r="A162" s="1"/>
      <c r="B162" s="1833"/>
      <c r="C162" s="1838"/>
      <c r="D162" s="1839"/>
      <c r="E162" s="1840"/>
      <c r="F162" s="1"/>
      <c r="G162" s="1154">
        <f>Text!$AQ$48</f>
        <v>313</v>
      </c>
      <c r="H162" s="1885" t="str">
        <f>Text!$AR$48</f>
        <v>Treibhausgasemissionen Mobilität</v>
      </c>
      <c r="I162" s="1886"/>
      <c r="J162" s="1886"/>
      <c r="K162" s="1887"/>
      <c r="L162" s="1306"/>
      <c r="M162" s="1227"/>
      <c r="N162" s="755"/>
      <c r="O162" s="1228"/>
      <c r="P162" s="145"/>
      <c r="Q162" s="755"/>
      <c r="R162" s="755"/>
      <c r="S162" s="755"/>
      <c r="T162" s="755"/>
      <c r="U162" s="1149"/>
      <c r="V162" s="1149"/>
      <c r="W162" s="1149"/>
      <c r="X162" s="236"/>
      <c r="Y162" s="236"/>
      <c r="Z162" s="236"/>
      <c r="AA162" s="235"/>
      <c r="AB162" s="1844"/>
      <c r="AC162" s="1845"/>
      <c r="AD162" s="1845"/>
      <c r="AE162" s="1845"/>
      <c r="AF162" s="1846"/>
      <c r="AG162" s="1884"/>
      <c r="AH162" s="235"/>
      <c r="AI162" s="243"/>
    </row>
    <row r="163" spans="1:36" s="44" customFormat="1" ht="2.15" customHeight="1" thickTop="1" thickBot="1">
      <c r="A163" s="1"/>
      <c r="B163" s="1833"/>
      <c r="C163" s="1841"/>
      <c r="D163" s="1842"/>
      <c r="E163" s="1843"/>
      <c r="F163" s="1"/>
      <c r="G163" s="1"/>
      <c r="H163" s="1"/>
      <c r="I163" s="1"/>
      <c r="J163" s="1"/>
      <c r="K163" s="240"/>
      <c r="L163" s="240"/>
      <c r="M163" s="240"/>
      <c r="N163" s="2"/>
      <c r="O163" s="2"/>
      <c r="P163" s="2"/>
      <c r="Q163" s="755"/>
      <c r="R163" s="755"/>
      <c r="S163" s="755"/>
      <c r="T163" s="755"/>
      <c r="U163" s="1149"/>
      <c r="V163" s="1149"/>
      <c r="W163" s="1149"/>
      <c r="X163" s="236"/>
      <c r="Y163" s="236"/>
      <c r="Z163" s="236"/>
      <c r="AA163" s="235"/>
      <c r="AB163" s="1844" t="str">
        <f>Text!$BA$34</f>
        <v xml:space="preserve">               Energie</v>
      </c>
      <c r="AC163" s="1845"/>
      <c r="AD163" s="1845"/>
      <c r="AE163" s="1845"/>
      <c r="AF163" s="1846"/>
      <c r="AG163" s="1884"/>
    </row>
    <row r="164" spans="1:36" s="44" customFormat="1" ht="10.4" customHeight="1" thickTop="1" thickBot="1">
      <c r="A164" s="1"/>
      <c r="B164" s="1833">
        <f>Text!$AM$49</f>
        <v>32</v>
      </c>
      <c r="C164" s="1835" t="str">
        <f>Text!$BA$34</f>
        <v xml:space="preserve">               Energie</v>
      </c>
      <c r="D164" s="1836"/>
      <c r="E164" s="1837"/>
      <c r="F164" s="1"/>
      <c r="G164" s="1145">
        <f>Text!$AQ$49</f>
        <v>321</v>
      </c>
      <c r="H164" s="1885" t="str">
        <f>Text!$AR$49</f>
        <v>Energiebedarf Erstellung</v>
      </c>
      <c r="I164" s="1886"/>
      <c r="J164" s="1886"/>
      <c r="K164" s="1887"/>
      <c r="L164" s="1306"/>
      <c r="M164" s="240"/>
      <c r="N164" s="2"/>
      <c r="O164" s="2"/>
      <c r="P164" s="2"/>
      <c r="Q164" s="2"/>
      <c r="R164" s="2"/>
      <c r="S164" s="59"/>
      <c r="T164" s="59"/>
      <c r="U164" s="1239"/>
      <c r="V164" s="1238"/>
      <c r="W164" s="236"/>
      <c r="X164" s="236"/>
      <c r="Y164" s="236"/>
      <c r="Z164" s="821"/>
      <c r="AA164" s="235"/>
      <c r="AB164" s="1844"/>
      <c r="AC164" s="1845"/>
      <c r="AD164" s="1845"/>
      <c r="AE164" s="1845"/>
      <c r="AF164" s="1846"/>
      <c r="AG164" s="1884">
        <f>Text!$AM$49</f>
        <v>32</v>
      </c>
      <c r="AH164" s="235"/>
      <c r="AI164" s="243"/>
    </row>
    <row r="165" spans="1:36" s="44" customFormat="1" ht="10.4" customHeight="1" thickTop="1" thickBot="1">
      <c r="A165" s="1"/>
      <c r="B165" s="1833"/>
      <c r="C165" s="1838"/>
      <c r="D165" s="1839"/>
      <c r="E165" s="1840"/>
      <c r="F165" s="1"/>
      <c r="G165" s="1145">
        <f>Text!$AQ$50</f>
        <v>322</v>
      </c>
      <c r="H165" s="1885" t="str">
        <f>Text!$AR$50</f>
        <v>Energiebedarf Betrieb</v>
      </c>
      <c r="I165" s="1886"/>
      <c r="J165" s="1886"/>
      <c r="K165" s="1887"/>
      <c r="L165" s="1306"/>
      <c r="M165" s="1151"/>
      <c r="N165" s="240"/>
      <c r="O165" s="240"/>
      <c r="P165" s="145"/>
      <c r="Q165" s="755"/>
      <c r="R165" s="755"/>
      <c r="S165" s="755"/>
      <c r="T165" s="755"/>
      <c r="U165" s="1879" t="str">
        <f>Text!$AU$47</f>
        <v>Betriebsenergie im Klimawandel</v>
      </c>
      <c r="V165" s="1880"/>
      <c r="W165" s="1880"/>
      <c r="X165" s="1880"/>
      <c r="Y165" s="1881"/>
      <c r="Z165" s="1138" t="str">
        <f>Text!$AT$47</f>
        <v>K322</v>
      </c>
      <c r="AA165" s="235"/>
      <c r="AB165" s="1844"/>
      <c r="AC165" s="1845"/>
      <c r="AD165" s="1845"/>
      <c r="AE165" s="1845"/>
      <c r="AF165" s="1846"/>
      <c r="AG165" s="1884"/>
    </row>
    <row r="166" spans="1:36" s="44" customFormat="1" ht="10.4" customHeight="1" thickTop="1" thickBot="1">
      <c r="A166" s="1"/>
      <c r="B166" s="1833"/>
      <c r="C166" s="1841"/>
      <c r="D166" s="1842"/>
      <c r="E166" s="1843"/>
      <c r="F166" s="1"/>
      <c r="G166" s="1"/>
      <c r="H166" s="1"/>
      <c r="I166" s="1"/>
      <c r="J166" s="1"/>
      <c r="K166" s="240"/>
      <c r="L166" s="240"/>
      <c r="M166" s="1227"/>
      <c r="N166" s="755"/>
      <c r="O166" s="1228"/>
      <c r="P166" s="145"/>
      <c r="Q166" s="755"/>
      <c r="R166" s="755"/>
      <c r="S166" s="755"/>
      <c r="T166" s="755"/>
      <c r="AA166" s="235"/>
      <c r="AB166" s="1844"/>
      <c r="AC166" s="1845"/>
      <c r="AD166" s="1845"/>
      <c r="AE166" s="1845"/>
      <c r="AF166" s="1846"/>
      <c r="AG166" s="1884"/>
      <c r="AH166" s="235"/>
      <c r="AI166" s="241"/>
      <c r="AJ166" s="241"/>
    </row>
    <row r="167" spans="1:36" s="44" customFormat="1" ht="2.15" customHeight="1" thickBot="1">
      <c r="A167" s="1"/>
      <c r="B167" s="1833">
        <f>Text!$AM$51</f>
        <v>33</v>
      </c>
      <c r="C167" s="1894" t="str">
        <f>Text!$BA$35</f>
        <v xml:space="preserve">                  Ressourcenschonung 
                   &amp; Umweltschutz</v>
      </c>
      <c r="D167" s="1895"/>
      <c r="E167" s="1896"/>
      <c r="F167" s="1"/>
      <c r="G167" s="1"/>
      <c r="H167" s="1"/>
      <c r="I167" s="1"/>
      <c r="J167" s="1"/>
      <c r="K167" s="240"/>
      <c r="L167" s="240"/>
      <c r="M167" s="240"/>
      <c r="N167" s="755"/>
      <c r="O167" s="2"/>
      <c r="P167" s="2"/>
      <c r="Q167" s="755"/>
      <c r="R167" s="755"/>
      <c r="S167" s="755"/>
      <c r="T167" s="755"/>
      <c r="U167" s="1149"/>
      <c r="V167" s="1149"/>
      <c r="W167" s="649"/>
      <c r="X167" s="235"/>
      <c r="Y167" s="235"/>
      <c r="Z167" s="235"/>
      <c r="AA167" s="235"/>
      <c r="AB167" s="1903" t="str">
        <f>Text!$BA$35</f>
        <v xml:space="preserve">                  Ressourcenschonung 
                   &amp; Umweltschutz</v>
      </c>
      <c r="AC167" s="1904"/>
      <c r="AD167" s="1904"/>
      <c r="AE167" s="1904"/>
      <c r="AF167" s="1905"/>
      <c r="AG167" s="1884">
        <f>Text!$AM$51</f>
        <v>33</v>
      </c>
    </row>
    <row r="168" spans="1:36" ht="10.4" customHeight="1" thickTop="1" thickBot="1">
      <c r="B168" s="1833"/>
      <c r="C168" s="1897"/>
      <c r="D168" s="1898"/>
      <c r="E168" s="1899"/>
      <c r="G168" s="1145">
        <f>Text!$AQ$51</f>
        <v>331</v>
      </c>
      <c r="H168" s="1885" t="str">
        <f>Text!$AR$51</f>
        <v>Baustelle</v>
      </c>
      <c r="I168" s="1886"/>
      <c r="J168" s="1886"/>
      <c r="K168" s="1887"/>
      <c r="L168" s="1306"/>
      <c r="M168" s="240"/>
      <c r="N168" s="2"/>
      <c r="O168" s="2"/>
      <c r="P168" s="2"/>
      <c r="Q168" s="2"/>
      <c r="R168" s="2"/>
      <c r="S168" s="59"/>
      <c r="T168" s="59"/>
      <c r="U168" s="1239"/>
      <c r="V168" s="1238"/>
      <c r="W168" s="236"/>
      <c r="X168" s="236"/>
      <c r="Y168" s="236"/>
      <c r="Z168" s="821"/>
      <c r="AA168" s="235"/>
      <c r="AB168" s="1903"/>
      <c r="AC168" s="1904"/>
      <c r="AD168" s="1904"/>
      <c r="AE168" s="1904"/>
      <c r="AF168" s="1905"/>
      <c r="AG168" s="1884"/>
    </row>
    <row r="169" spans="1:36" ht="10.4" customHeight="1" thickTop="1" thickBot="1">
      <c r="B169" s="1833"/>
      <c r="C169" s="1897"/>
      <c r="D169" s="1898"/>
      <c r="E169" s="1899"/>
      <c r="G169" s="1145">
        <f>Text!$AQ$52</f>
        <v>332</v>
      </c>
      <c r="H169" s="1885" t="str">
        <f>Text!$AR$52</f>
        <v>Ökologische Baustoffe</v>
      </c>
      <c r="I169" s="1886"/>
      <c r="J169" s="1886"/>
      <c r="K169" s="1887"/>
      <c r="L169" s="1306"/>
      <c r="M169" s="240"/>
      <c r="N169" s="2"/>
      <c r="O169" s="2"/>
      <c r="P169" s="2"/>
      <c r="Q169" s="2"/>
      <c r="R169" s="2"/>
      <c r="S169" s="59"/>
      <c r="T169" s="59"/>
      <c r="U169" s="1239"/>
      <c r="V169" s="1238"/>
      <c r="W169" s="236"/>
      <c r="X169" s="236"/>
      <c r="Y169" s="236"/>
      <c r="Z169" s="821"/>
      <c r="AA169" s="235"/>
      <c r="AB169" s="1903"/>
      <c r="AC169" s="1904"/>
      <c r="AD169" s="1904"/>
      <c r="AE169" s="1904"/>
      <c r="AF169" s="1905"/>
      <c r="AG169" s="1884"/>
    </row>
    <row r="170" spans="1:36" ht="10.4" customHeight="1" thickTop="1" thickBot="1">
      <c r="B170" s="1833"/>
      <c r="C170" s="1897"/>
      <c r="D170" s="1898"/>
      <c r="E170" s="1899"/>
      <c r="G170" s="1154">
        <f>Text!$AQ$53</f>
        <v>333</v>
      </c>
      <c r="H170" s="1885" t="str">
        <f>Text!$AR$53</f>
        <v>Systematische Inbetriebnahme</v>
      </c>
      <c r="I170" s="1886"/>
      <c r="J170" s="1886"/>
      <c r="K170" s="1887"/>
      <c r="L170" s="1306"/>
      <c r="M170" s="240"/>
      <c r="N170" s="2"/>
      <c r="O170" s="2"/>
      <c r="P170" s="2"/>
      <c r="Q170" s="2"/>
      <c r="R170" s="2"/>
      <c r="S170" s="59"/>
      <c r="T170" s="59"/>
      <c r="U170" s="1239"/>
      <c r="V170" s="1238"/>
      <c r="W170" s="236"/>
      <c r="X170" s="236"/>
      <c r="Y170" s="236"/>
      <c r="Z170" s="821"/>
      <c r="AA170" s="235"/>
      <c r="AB170" s="1903"/>
      <c r="AC170" s="1904"/>
      <c r="AD170" s="1904"/>
      <c r="AE170" s="1904"/>
      <c r="AF170" s="1905"/>
      <c r="AG170" s="1884"/>
    </row>
    <row r="171" spans="1:36" ht="10.4" customHeight="1" thickTop="1" thickBot="1">
      <c r="B171" s="1833"/>
      <c r="C171" s="1897"/>
      <c r="D171" s="1898"/>
      <c r="E171" s="1899"/>
      <c r="G171" s="1154">
        <f>Text!$AQ$54</f>
        <v>334</v>
      </c>
      <c r="H171" s="1885" t="str">
        <f>Text!$AR$54</f>
        <v>Energiemonitoring</v>
      </c>
      <c r="I171" s="1886"/>
      <c r="J171" s="1886"/>
      <c r="K171" s="1887"/>
      <c r="L171" s="1306"/>
      <c r="M171" s="240"/>
      <c r="N171" s="2"/>
      <c r="O171" s="2"/>
      <c r="P171" s="2"/>
      <c r="Q171" s="2"/>
      <c r="R171" s="2"/>
      <c r="S171" s="59"/>
      <c r="T171" s="59"/>
      <c r="U171" s="1879" t="str">
        <f>Text!$AU$48</f>
        <v>Behaglichkeitsmonitoring</v>
      </c>
      <c r="V171" s="1880"/>
      <c r="W171" s="1880"/>
      <c r="X171" s="1880"/>
      <c r="Y171" s="1881"/>
      <c r="Z171" s="1138" t="str">
        <f>Text!$AT$48</f>
        <v>K334</v>
      </c>
      <c r="AA171" s="235"/>
      <c r="AB171" s="1903"/>
      <c r="AC171" s="1904"/>
      <c r="AD171" s="1904"/>
      <c r="AE171" s="1904"/>
      <c r="AF171" s="1905"/>
      <c r="AG171" s="1884"/>
    </row>
    <row r="172" spans="1:36" ht="10.4" customHeight="1" thickTop="1" thickBot="1">
      <c r="B172" s="1833"/>
      <c r="C172" s="1897"/>
      <c r="D172" s="1898"/>
      <c r="E172" s="1899"/>
      <c r="G172" s="1154">
        <f>Text!$AQ$55</f>
        <v>335</v>
      </c>
      <c r="H172" s="1885" t="str">
        <f>Text!$AR$55</f>
        <v>Mobilitätsmassnahmen</v>
      </c>
      <c r="I172" s="1886"/>
      <c r="J172" s="1886"/>
      <c r="K172" s="1887"/>
      <c r="L172" s="1306"/>
      <c r="M172" s="240"/>
      <c r="N172" s="2"/>
      <c r="O172" s="2"/>
      <c r="P172" s="2"/>
      <c r="Q172" s="2"/>
      <c r="R172" s="2"/>
      <c r="S172" s="59"/>
      <c r="T172" s="59"/>
      <c r="U172" s="235"/>
      <c r="V172" s="1237"/>
      <c r="W172" s="235"/>
      <c r="X172" s="235"/>
      <c r="Y172" s="235"/>
      <c r="Z172" s="235"/>
      <c r="AA172" s="235"/>
      <c r="AB172" s="1903"/>
      <c r="AC172" s="1904"/>
      <c r="AD172" s="1904"/>
      <c r="AE172" s="1904"/>
      <c r="AF172" s="1905"/>
      <c r="AG172" s="1884"/>
    </row>
    <row r="173" spans="1:36" ht="10.4" customHeight="1" thickTop="1" thickBot="1">
      <c r="B173" s="1833"/>
      <c r="C173" s="1900"/>
      <c r="D173" s="1901"/>
      <c r="E173" s="1902"/>
      <c r="G173" s="1154">
        <f>Text!$AQ$56</f>
        <v>336</v>
      </c>
      <c r="H173" s="1885" t="str">
        <f>Text!$AR$56</f>
        <v>Elektro-Mobilität</v>
      </c>
      <c r="I173" s="1886"/>
      <c r="J173" s="1886"/>
      <c r="K173" s="1887"/>
      <c r="L173" s="1306"/>
      <c r="M173" s="240"/>
      <c r="N173" s="2"/>
      <c r="O173" s="2"/>
      <c r="P173" s="2"/>
      <c r="Q173" s="755"/>
      <c r="R173" s="755"/>
      <c r="S173" s="755"/>
      <c r="T173" s="1228"/>
      <c r="U173" s="1239"/>
      <c r="V173" s="1238"/>
      <c r="W173" s="236"/>
      <c r="X173" s="236"/>
      <c r="Y173" s="236"/>
      <c r="Z173" s="821"/>
      <c r="AA173" s="235"/>
      <c r="AB173" s="1903"/>
      <c r="AC173" s="1904"/>
      <c r="AD173" s="1904"/>
      <c r="AE173" s="1904"/>
      <c r="AF173" s="1905"/>
      <c r="AG173" s="1884"/>
    </row>
    <row r="174" spans="1:36" s="44" customFormat="1" ht="2.15" customHeight="1" thickBot="1">
      <c r="A174" s="1"/>
      <c r="B174" s="1833">
        <f>Text!$AM$57</f>
        <v>34</v>
      </c>
      <c r="C174" s="1835" t="str">
        <f>Text!$BA$36</f>
        <v xml:space="preserve">               Natur &amp; Landschaft</v>
      </c>
      <c r="D174" s="1836"/>
      <c r="E174" s="1837"/>
      <c r="F174" s="1"/>
      <c r="G174" s="1"/>
      <c r="H174" s="1"/>
      <c r="I174" s="1"/>
      <c r="J174" s="1"/>
      <c r="K174" s="240"/>
      <c r="L174" s="240"/>
      <c r="M174" s="240"/>
      <c r="N174" s="2"/>
      <c r="O174" s="2"/>
      <c r="P174" s="2"/>
      <c r="Q174" s="755"/>
      <c r="R174" s="755"/>
      <c r="S174" s="755"/>
      <c r="T174" s="755"/>
      <c r="U174" s="1448"/>
      <c r="V174" s="1448"/>
      <c r="W174" s="1448"/>
      <c r="X174" s="236"/>
      <c r="Y174" s="236"/>
      <c r="Z174" s="236"/>
      <c r="AA174" s="235"/>
      <c r="AB174" s="1844" t="str">
        <f>Text!$BA$36</f>
        <v xml:space="preserve">               Natur &amp; Landschaft</v>
      </c>
      <c r="AC174" s="1845"/>
      <c r="AD174" s="1845"/>
      <c r="AE174" s="1845"/>
      <c r="AF174" s="1846"/>
      <c r="AG174" s="1884">
        <f>Text!$AM$57</f>
        <v>34</v>
      </c>
    </row>
    <row r="175" spans="1:36" s="44" customFormat="1" ht="10.4" customHeight="1" thickTop="1" thickBot="1">
      <c r="A175" s="1"/>
      <c r="B175" s="1833"/>
      <c r="C175" s="1838"/>
      <c r="D175" s="1839"/>
      <c r="E175" s="1840"/>
      <c r="F175" s="1"/>
      <c r="G175" s="1145">
        <f>Text!$AQ$57</f>
        <v>341</v>
      </c>
      <c r="H175" s="1885" t="str">
        <f>Text!$AR$57</f>
        <v>Biodiversität</v>
      </c>
      <c r="I175" s="1886"/>
      <c r="J175" s="1886"/>
      <c r="K175" s="1887"/>
      <c r="L175" s="1306"/>
      <c r="M175" s="240"/>
      <c r="N175" s="2"/>
      <c r="O175" s="2"/>
      <c r="P175" s="2"/>
      <c r="Q175" s="2"/>
      <c r="R175" s="2"/>
      <c r="S175" s="59"/>
      <c r="T175" s="59"/>
      <c r="U175" s="1239"/>
      <c r="V175" s="1283"/>
      <c r="W175" s="1449"/>
      <c r="X175" s="1449"/>
      <c r="Y175" s="1449"/>
      <c r="Z175" s="821"/>
      <c r="AA175" s="235"/>
      <c r="AB175" s="1844"/>
      <c r="AC175" s="1845"/>
      <c r="AD175" s="1845"/>
      <c r="AE175" s="1845"/>
      <c r="AF175" s="1846"/>
      <c r="AG175" s="1884"/>
      <c r="AH175" s="235"/>
      <c r="AI175" s="243"/>
    </row>
    <row r="176" spans="1:36" s="44" customFormat="1" ht="10.4" customHeight="1" thickTop="1" thickBot="1">
      <c r="A176" s="1"/>
      <c r="B176" s="1833"/>
      <c r="C176" s="1838"/>
      <c r="D176" s="1839"/>
      <c r="E176" s="1840"/>
      <c r="F176" s="1"/>
      <c r="G176" s="1145">
        <f>Text!$AQ$58</f>
        <v>342</v>
      </c>
      <c r="H176" s="1885" t="str">
        <f>Text!$AR$58</f>
        <v>Wasser</v>
      </c>
      <c r="I176" s="1886"/>
      <c r="J176" s="1886"/>
      <c r="K176" s="1887"/>
      <c r="L176" s="1306"/>
      <c r="M176" s="1151"/>
      <c r="N176" s="240"/>
      <c r="O176" s="240"/>
      <c r="P176" s="145"/>
      <c r="Q176" s="755"/>
      <c r="R176" s="755"/>
      <c r="S176" s="755"/>
      <c r="T176" s="755"/>
      <c r="U176" s="1879" t="str">
        <f>Text!$AU$49</f>
        <v>Umgebung im Klimawandel</v>
      </c>
      <c r="V176" s="1880"/>
      <c r="W176" s="1880"/>
      <c r="X176" s="1880"/>
      <c r="Y176" s="1881"/>
      <c r="Z176" s="1138" t="str">
        <f>Text!$AT$49</f>
        <v>K342</v>
      </c>
      <c r="AA176" s="235"/>
      <c r="AB176" s="1844"/>
      <c r="AC176" s="1845"/>
      <c r="AD176" s="1845"/>
      <c r="AE176" s="1845"/>
      <c r="AF176" s="1846"/>
      <c r="AG176" s="1884"/>
    </row>
    <row r="177" spans="1:39" s="44" customFormat="1" ht="10.4" customHeight="1" thickTop="1" thickBot="1">
      <c r="A177" s="1"/>
      <c r="B177" s="1834"/>
      <c r="C177" s="1841"/>
      <c r="D177" s="1842"/>
      <c r="E177" s="1843"/>
      <c r="F177" s="1"/>
      <c r="G177" s="1154">
        <f>Text!$AQ$59</f>
        <v>343</v>
      </c>
      <c r="H177" s="1885" t="str">
        <f>Text!$AR$59</f>
        <v>Haushälterische Bodennutzung</v>
      </c>
      <c r="I177" s="1886"/>
      <c r="J177" s="1886"/>
      <c r="K177" s="1887"/>
      <c r="L177" s="1306"/>
      <c r="M177" s="1227"/>
      <c r="N177" s="755"/>
      <c r="O177" s="1228"/>
      <c r="P177" s="145"/>
      <c r="Q177" s="755"/>
      <c r="R177" s="755"/>
      <c r="S177" s="755"/>
      <c r="T177" s="1228"/>
      <c r="AA177" s="235"/>
      <c r="AB177" s="1844"/>
      <c r="AC177" s="1845"/>
      <c r="AD177" s="1845"/>
      <c r="AE177" s="1845"/>
      <c r="AF177" s="1846"/>
      <c r="AG177" s="1907"/>
      <c r="AH177" s="235"/>
      <c r="AI177" s="241"/>
      <c r="AJ177" s="241"/>
    </row>
    <row r="178" spans="1:39" ht="10.4" customHeight="1" thickTop="1"/>
    <row r="179" spans="1:39" ht="31" customHeight="1">
      <c r="B179" s="1893" t="str">
        <f>Text!$C$590</f>
        <v>Gesamtnote</v>
      </c>
      <c r="C179" s="1893"/>
      <c r="D179" s="1893"/>
      <c r="E179" s="1893"/>
      <c r="F179" s="1277"/>
      <c r="G179" s="2008" t="str">
        <f>Text!C$578</f>
        <v>Das Projekt wurde als 0 % nachhaltig beim Pre-Check bewertet</v>
      </c>
      <c r="H179" s="2008"/>
      <c r="I179" s="2008"/>
      <c r="J179" s="2008"/>
      <c r="K179" s="2008"/>
      <c r="L179" s="1304"/>
      <c r="Q179" s="1854"/>
      <c r="R179" s="1854"/>
      <c r="S179" s="14"/>
      <c r="T179" s="14"/>
      <c r="U179" s="1906" t="str">
        <f>Text!C$579</f>
        <v>Das Projekt wurde als 0 % nachhaltig beim Klima-Check bewertet</v>
      </c>
      <c r="V179" s="1906"/>
      <c r="W179" s="1906"/>
      <c r="X179" s="1906"/>
      <c r="Y179" s="1906"/>
      <c r="Z179" s="1906"/>
      <c r="AA179" s="1277"/>
      <c r="AB179" s="1893" t="str">
        <f>Text!$C$590</f>
        <v>Gesamtnote</v>
      </c>
      <c r="AC179" s="1893"/>
      <c r="AD179" s="1893"/>
      <c r="AE179" s="1893"/>
      <c r="AF179" s="1893"/>
      <c r="AG179" s="1893"/>
    </row>
    <row r="180" spans="1:39" ht="10.4" customHeight="1">
      <c r="M180" s="1957"/>
      <c r="N180" s="1957"/>
      <c r="O180" s="1957"/>
    </row>
    <row r="181" spans="1:39" s="48" customFormat="1" ht="30" hidden="1" customHeight="1">
      <c r="AA181" s="91"/>
    </row>
    <row r="182" spans="1:39" ht="30" hidden="1" customHeight="1">
      <c r="K182" s="1785"/>
      <c r="L182" s="1785"/>
      <c r="M182" s="1785"/>
      <c r="N182" s="1785"/>
      <c r="O182" s="1785"/>
      <c r="P182" s="477"/>
      <c r="Q182" s="477"/>
      <c r="S182" s="976"/>
      <c r="T182" s="976"/>
      <c r="Z182" s="976" t="str">
        <f>Text!$C$39</f>
        <v>SNBS-HOCHBAU</v>
      </c>
      <c r="AA182" s="976"/>
    </row>
    <row r="183" spans="1:39" ht="31.5" hidden="1" customHeight="1">
      <c r="D183" s="231" t="str">
        <f>Text!$C$554</f>
        <v>Datum:</v>
      </c>
      <c r="E183" s="1830"/>
      <c r="F183" s="1830"/>
      <c r="G183" s="1830"/>
      <c r="H183" s="1830"/>
      <c r="I183" s="46"/>
      <c r="J183" s="46"/>
      <c r="K183" s="1786"/>
      <c r="L183" s="1786"/>
      <c r="M183" s="1786"/>
      <c r="N183" s="1786"/>
      <c r="O183" s="1786"/>
      <c r="P183" s="478"/>
      <c r="Q183" s="478"/>
      <c r="S183" s="1127"/>
      <c r="T183" s="1127"/>
      <c r="Z183" s="1127" t="str">
        <f>Text!$C$40</f>
        <v>Version 2023.1</v>
      </c>
      <c r="AA183" s="1127"/>
    </row>
    <row r="184" spans="1:39" ht="14.15" hidden="1" customHeight="1">
      <c r="D184" s="19" t="str">
        <f>Text!$C$555</f>
        <v>Name des Projekts:</v>
      </c>
      <c r="E184" s="1831"/>
      <c r="F184" s="1831"/>
      <c r="G184" s="1831"/>
      <c r="H184" s="1831"/>
      <c r="K184" s="1832"/>
      <c r="L184" s="1832"/>
      <c r="M184" s="1832"/>
      <c r="N184" s="1832"/>
      <c r="O184" s="1832"/>
      <c r="P184" s="479"/>
      <c r="Q184" s="479"/>
    </row>
    <row r="185" spans="1:39" s="48" customFormat="1" ht="32.5" hidden="1" customHeight="1">
      <c r="H185" s="470"/>
      <c r="I185" s="194"/>
      <c r="J185" s="194"/>
      <c r="K185" s="194"/>
      <c r="L185" s="194"/>
      <c r="M185" s="1789" t="str">
        <f>IF(Tool!H192="","",IF(AND(Tool!H181="Deutsch",Tool!H192="Pre-Check"),"Pre-Check SNBS 2023.1 Hochbau",IF(AND(Tool!H181="Deutsch",Tool!H192="Pre-Check &amp; Klima-Check"),"Pre-Check &amp; Klima-Check SNBS 2023.1 Hochbau",IF(AND(Tool!H181="Deutsch",Tool!H192="Klima-Check"),"Klima-Check SNBS 2023.1 Hochbau",IF(AND(Tool!H181="Français",Tool!H192="Pre-Check &amp; Check Climat"),"Pre-Check &amp; Check Climat SNBS 2023.1 Bâtiment",IF(AND(Tool!H181="Français",Tool!H192="Check Climat"),"Check Climat SNBS 2023.1 Bâtiment",IF(AND(Tool!H181="Français",Tool!H192="Pre-Check"),"Pre-Check SNBS 2023.1 Bâtiment",IF(AND(Tool!H181="Italiano",Tool!H192="Pre-Check &amp; Check Clima"),"Pre-Check &amp; Check Clima SNBS 2023.1 Edificio",IF(AND(Tool!H181="Italiano",Tool!H192="Check Clima"),"Check Clima SNBS 2023.1 Edificio",IF(AND(Tool!H181="Italiano",Tool!H192="Pre-Check"),"Pre-Check SNBS 2023.1 Edificio","Pre-Check SNBS 2023.1 Hochbau"))))))))))</f>
        <v/>
      </c>
      <c r="N185" s="1789"/>
      <c r="O185" s="1789"/>
      <c r="P185" s="1789"/>
      <c r="Q185" s="1789"/>
      <c r="R185" s="1789"/>
      <c r="S185" s="1789"/>
      <c r="T185" s="1789"/>
      <c r="U185" s="1789"/>
      <c r="AA185" s="91"/>
    </row>
    <row r="186" spans="1:39" s="4" customFormat="1" ht="117.65" hidden="1" customHeight="1">
      <c r="C186" s="21"/>
      <c r="D186" s="1728" t="str">
        <f>Text!$C$561&amp;"
"&amp;Text!$C$562&amp;"
"&amp;Text!$C$566&amp;"
"&amp;Text!$C$567</f>
        <v>Die Illustrationen im Ergebnisregister fassen die Projektbewertung zusammen und bestehen aus zwei Teilen:
Die erste Abbildung, steht die Bewertung der einzelnen Themen in Form von einem Spinnendiagram dar. Dieses ermöglicht die rasche Identifizierung von Stärken und Schwächen innerhalb des Projekts, aber auch den visuellen Vergleich zwischen Projektvarianten oder unterschiedlichen Projekten.
In der Abbildung auf der zweiten Seite wird in Form von horizontalen Balken gezeigt, wie gut ein Projekt die Anforderungen des SNBS in den jeweiligen Themen der Bereiche Gesellschaft, Wirtschaft und Umwelt sowie in den Bereichen selbst erfüllt.
Dazu werden die einzelnen Kriterien mit Farbcodes bewertet: Grüne Schrift und durchgestrichen bedeutet «gut», nur grüne Schrift steht für «genügend», rote Schrift steht für «ungenügend» und fette rote Schrift in rotem Rahmen kennzeichnet die «Stolpersteine».</v>
      </c>
      <c r="E186" s="1728"/>
      <c r="F186" s="1728"/>
      <c r="G186" s="1728"/>
      <c r="H186" s="1728"/>
      <c r="I186" s="1728"/>
      <c r="J186" s="1728"/>
      <c r="K186" s="1728"/>
      <c r="L186" s="1728"/>
      <c r="M186" s="1728"/>
      <c r="N186" s="1728"/>
      <c r="O186" s="1728"/>
      <c r="P186" s="1728"/>
      <c r="Q186" s="1728"/>
      <c r="R186" s="1728"/>
      <c r="S186" s="1728"/>
      <c r="T186" s="1728"/>
      <c r="U186" s="1728"/>
      <c r="V186" s="1728"/>
      <c r="W186" s="1728"/>
      <c r="X186" s="1728"/>
      <c r="Y186" s="1728"/>
      <c r="Z186" s="1728"/>
      <c r="AA186" s="1728"/>
      <c r="AB186" s="1728"/>
      <c r="AC186" s="1728"/>
      <c r="AD186" s="1728"/>
      <c r="AE186" s="1728"/>
      <c r="AF186" s="1728"/>
      <c r="AG186" s="125"/>
      <c r="AH186" s="125"/>
      <c r="AI186" s="125"/>
      <c r="AJ186" s="125"/>
      <c r="AK186" s="125"/>
      <c r="AL186" s="125"/>
    </row>
    <row r="187" spans="1:39" s="4" customFormat="1" ht="10.4" hidden="1" customHeight="1">
      <c r="C187" s="21"/>
      <c r="D187" s="125"/>
      <c r="E187" s="125"/>
      <c r="F187" s="125"/>
      <c r="G187" s="125"/>
      <c r="H187" s="125"/>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row>
    <row r="188" spans="1:39" ht="20.149999999999999" hidden="1" customHeight="1">
      <c r="K188" s="131"/>
      <c r="L188" s="131"/>
      <c r="M188" s="78"/>
      <c r="V188" s="1267"/>
      <c r="W188" s="1267"/>
      <c r="X188" s="1267"/>
      <c r="Y188" s="1267"/>
      <c r="Z188" s="1267"/>
      <c r="AA188" s="1267"/>
      <c r="AB188" s="1971"/>
      <c r="AC188" s="1971"/>
      <c r="AD188" s="1971"/>
      <c r="AE188" s="1971"/>
      <c r="AF188" s="131"/>
      <c r="AG188" s="1234"/>
      <c r="AH188" s="475"/>
      <c r="AI188" s="78"/>
      <c r="AJ188" s="78"/>
      <c r="AK188" s="78"/>
      <c r="AL188" s="78"/>
      <c r="AM188" s="78"/>
    </row>
    <row r="189" spans="1:39" ht="5.15" hidden="1" customHeight="1">
      <c r="B189" s="1957"/>
      <c r="C189" s="1957"/>
      <c r="D189" s="1957"/>
      <c r="E189" s="1957"/>
      <c r="F189" s="1957"/>
      <c r="G189" s="1957"/>
      <c r="H189" s="1957"/>
      <c r="I189" s="1957"/>
      <c r="J189" s="1957"/>
      <c r="K189" s="1957"/>
      <c r="M189" s="78"/>
      <c r="V189" s="1267"/>
      <c r="W189" s="1267"/>
      <c r="X189" s="1267"/>
      <c r="Y189" s="1267"/>
      <c r="Z189" s="1267"/>
      <c r="AA189" s="1267"/>
      <c r="AE189" s="475"/>
      <c r="AG189" s="475"/>
      <c r="AH189" s="475"/>
      <c r="AI189" s="78"/>
      <c r="AJ189" s="78"/>
      <c r="AK189" s="78"/>
      <c r="AL189" s="78"/>
      <c r="AM189" s="78"/>
    </row>
    <row r="190" spans="1:39" ht="10.4" hidden="1" customHeight="1">
      <c r="B190" s="1957"/>
      <c r="C190" s="1957"/>
      <c r="D190" s="1957"/>
      <c r="E190" s="1957"/>
      <c r="F190" s="1957"/>
      <c r="G190" s="1957"/>
      <c r="H190" s="1957"/>
      <c r="I190" s="1957"/>
      <c r="J190" s="1957"/>
      <c r="K190" s="1957"/>
      <c r="L190" s="131"/>
      <c r="M190" s="78"/>
      <c r="V190" s="1267"/>
      <c r="W190" s="1267"/>
      <c r="X190" s="1267"/>
      <c r="Y190" s="1267"/>
      <c r="Z190" s="1267"/>
      <c r="AA190" s="1267"/>
      <c r="AB190" s="1972"/>
      <c r="AC190" s="1972"/>
      <c r="AD190" s="1972"/>
      <c r="AF190" s="131"/>
      <c r="AI190" s="78"/>
      <c r="AJ190" s="78"/>
      <c r="AK190" s="78"/>
      <c r="AL190" s="78"/>
      <c r="AM190" s="78"/>
    </row>
    <row r="191" spans="1:39" ht="2.15" hidden="1" customHeight="1">
      <c r="B191" s="1957"/>
      <c r="C191" s="1957"/>
      <c r="D191" s="1957"/>
      <c r="E191" s="1957"/>
      <c r="F191" s="1957"/>
      <c r="G191" s="1957"/>
      <c r="H191" s="1957"/>
      <c r="I191" s="1957"/>
      <c r="J191" s="1957"/>
      <c r="K191" s="1957"/>
      <c r="L191" s="131"/>
      <c r="M191" s="78"/>
      <c r="V191" s="1267"/>
      <c r="W191" s="1267"/>
      <c r="X191" s="1267"/>
      <c r="Y191" s="1267"/>
      <c r="Z191" s="1267"/>
      <c r="AA191" s="1267"/>
      <c r="AB191" s="472"/>
      <c r="AF191" s="131"/>
      <c r="AI191" s="78"/>
      <c r="AJ191" s="78"/>
      <c r="AK191" s="78"/>
      <c r="AL191" s="78"/>
      <c r="AM191" s="78"/>
    </row>
    <row r="192" spans="1:39" ht="10.4" hidden="1" customHeight="1">
      <c r="B192" s="1957"/>
      <c r="C192" s="1957"/>
      <c r="D192" s="1957"/>
      <c r="E192" s="1957"/>
      <c r="F192" s="1957"/>
      <c r="G192" s="1957"/>
      <c r="H192" s="1957"/>
      <c r="I192" s="1957"/>
      <c r="J192" s="1957"/>
      <c r="K192" s="1957"/>
      <c r="L192" s="131"/>
      <c r="M192" s="78"/>
      <c r="V192" s="1268"/>
      <c r="W192" s="1268"/>
      <c r="X192"/>
      <c r="Y192" s="1269"/>
      <c r="Z192" s="1269"/>
      <c r="AA192" s="1269"/>
      <c r="AB192" s="1973"/>
      <c r="AC192" s="1973"/>
      <c r="AD192" s="1973"/>
      <c r="AF192" s="131"/>
      <c r="AI192" s="78"/>
      <c r="AJ192" s="78"/>
      <c r="AK192" s="78"/>
      <c r="AL192" s="78"/>
      <c r="AM192" s="78"/>
    </row>
    <row r="193" spans="1:39" ht="2.15" hidden="1" customHeight="1">
      <c r="B193" s="1957"/>
      <c r="C193" s="1957"/>
      <c r="D193" s="1957"/>
      <c r="E193" s="1957"/>
      <c r="F193" s="1957"/>
      <c r="G193" s="1957"/>
      <c r="H193" s="1957"/>
      <c r="I193" s="1957"/>
      <c r="J193" s="1957"/>
      <c r="K193" s="1957"/>
      <c r="L193" s="131"/>
      <c r="M193" s="78"/>
      <c r="O193" s="11"/>
      <c r="V193"/>
      <c r="W193"/>
      <c r="X193"/>
      <c r="Y193"/>
      <c r="Z193"/>
      <c r="AA193"/>
      <c r="AB193" s="472"/>
      <c r="AF193" s="131"/>
      <c r="AI193" s="78"/>
      <c r="AJ193" s="78"/>
      <c r="AK193" s="78"/>
      <c r="AL193" s="78"/>
      <c r="AM193" s="78"/>
    </row>
    <row r="194" spans="1:39" ht="10.4" hidden="1" customHeight="1">
      <c r="B194" s="1957"/>
      <c r="C194" s="1957"/>
      <c r="D194" s="1957"/>
      <c r="E194" s="1957"/>
      <c r="F194" s="1957"/>
      <c r="G194" s="1957"/>
      <c r="H194" s="1957"/>
      <c r="I194" s="1957"/>
      <c r="J194" s="1957"/>
      <c r="K194" s="1957"/>
      <c r="L194" s="131"/>
      <c r="M194" s="78"/>
      <c r="V194" s="1270"/>
      <c r="W194" s="1270"/>
      <c r="X194"/>
      <c r="Y194" s="1271"/>
      <c r="Z194" s="1271"/>
      <c r="AA194"/>
      <c r="AB194" s="1974"/>
      <c r="AC194" s="1974"/>
      <c r="AD194" s="1974"/>
      <c r="AE194" s="78"/>
      <c r="AF194" s="131"/>
      <c r="AG194" s="78"/>
      <c r="AH194" s="78"/>
      <c r="AI194" s="78"/>
      <c r="AJ194" s="78"/>
      <c r="AK194" s="78"/>
      <c r="AL194" s="78"/>
      <c r="AM194" s="78"/>
    </row>
    <row r="195" spans="1:39" ht="2.15" hidden="1" customHeight="1">
      <c r="B195" s="1957"/>
      <c r="C195" s="1957"/>
      <c r="D195" s="1957"/>
      <c r="E195" s="1957"/>
      <c r="F195" s="1957"/>
      <c r="G195" s="1957"/>
      <c r="H195" s="1957"/>
      <c r="I195" s="1957"/>
      <c r="J195" s="1957"/>
      <c r="K195" s="1957"/>
      <c r="L195" s="131"/>
      <c r="M195" s="78"/>
      <c r="V195" s="11"/>
      <c r="X195" s="78"/>
      <c r="Y195" s="78"/>
      <c r="Z195" s="78"/>
      <c r="AA195" s="78"/>
      <c r="AB195" s="472"/>
      <c r="AE195" s="78"/>
      <c r="AF195" s="131"/>
      <c r="AG195" s="78"/>
      <c r="AH195" s="78"/>
      <c r="AI195" s="78"/>
      <c r="AJ195" s="78"/>
      <c r="AK195" s="78"/>
      <c r="AL195" s="78"/>
      <c r="AM195" s="78"/>
    </row>
    <row r="196" spans="1:39" ht="10.4" hidden="1" customHeight="1">
      <c r="B196" s="1957"/>
      <c r="C196" s="1957"/>
      <c r="D196" s="1957"/>
      <c r="E196" s="1957"/>
      <c r="F196" s="1957"/>
      <c r="G196" s="1957"/>
      <c r="H196" s="1957"/>
      <c r="I196" s="1957"/>
      <c r="J196" s="1957"/>
      <c r="K196" s="1957"/>
      <c r="L196" s="131"/>
      <c r="Q196" s="232"/>
      <c r="R196" s="233"/>
      <c r="S196" s="232"/>
      <c r="T196" s="232"/>
      <c r="X196" s="234"/>
      <c r="Y196" s="234"/>
      <c r="Z196" s="234"/>
      <c r="AA196" s="232"/>
      <c r="AB196" s="1975"/>
      <c r="AC196" s="1975"/>
      <c r="AD196" s="1975"/>
      <c r="AE196" s="232"/>
      <c r="AF196" s="131"/>
      <c r="AG196" s="232"/>
      <c r="AH196" s="232"/>
      <c r="AI196"/>
      <c r="AJ196"/>
      <c r="AK196"/>
      <c r="AL196"/>
      <c r="AM196"/>
    </row>
    <row r="197" spans="1:39" ht="10.4" hidden="1" customHeight="1">
      <c r="B197" s="232"/>
      <c r="C197" s="232"/>
      <c r="D197" s="233"/>
      <c r="E197" s="232"/>
      <c r="H197" s="474"/>
      <c r="I197" s="234"/>
      <c r="J197" s="234"/>
      <c r="K197" s="473"/>
      <c r="L197" s="473"/>
      <c r="Q197" s="232"/>
      <c r="R197" s="233"/>
      <c r="S197" s="232"/>
      <c r="T197" s="232"/>
      <c r="U197" s="1235"/>
      <c r="V197" s="1235"/>
      <c r="W197" s="1235"/>
      <c r="X197" s="1235"/>
      <c r="Y197" s="1235"/>
      <c r="Z197" s="1235"/>
      <c r="AA197" s="1235"/>
      <c r="AB197" s="1235"/>
      <c r="AC197" s="1235"/>
      <c r="AD197" s="1235"/>
      <c r="AE197" s="232"/>
      <c r="AF197" s="232"/>
      <c r="AG197" s="232"/>
      <c r="AH197" s="232"/>
      <c r="AI197"/>
      <c r="AJ197"/>
      <c r="AK197"/>
      <c r="AL197"/>
      <c r="AM197"/>
    </row>
    <row r="198" spans="1:39" ht="10" hidden="1" customHeight="1">
      <c r="B198" s="1956" t="str">
        <f>Text!C$312</f>
        <v>Pre-Check SNBS 2023.1 Hochbau</v>
      </c>
      <c r="C198" s="1956"/>
      <c r="D198" s="1956"/>
      <c r="E198" s="1956"/>
      <c r="F198" s="1956"/>
      <c r="G198" s="1956"/>
      <c r="H198" s="1956"/>
      <c r="I198" s="1956"/>
      <c r="J198" s="1956"/>
      <c r="K198" s="1956"/>
      <c r="M198" s="1957"/>
      <c r="N198" s="1957"/>
      <c r="O198" s="1957"/>
      <c r="Q198" s="1854"/>
      <c r="R198" s="1854"/>
      <c r="S198" s="14"/>
      <c r="T198" s="14"/>
      <c r="U198" s="1956"/>
      <c r="V198" s="1956"/>
      <c r="W198" s="1956"/>
      <c r="X198" s="1956"/>
      <c r="Y198" s="1956"/>
      <c r="Z198" s="1956"/>
      <c r="AA198" s="1956"/>
      <c r="AB198" s="1956"/>
      <c r="AC198" s="1956"/>
      <c r="AD198" s="1956"/>
      <c r="AE198" s="1956"/>
      <c r="AF198" s="1956"/>
      <c r="AG198" s="1956"/>
      <c r="AI198"/>
      <c r="AJ198"/>
      <c r="AK198"/>
      <c r="AL198"/>
      <c r="AM198"/>
    </row>
    <row r="199" spans="1:39" ht="15" hidden="1" customHeight="1">
      <c r="B199" s="1956"/>
      <c r="C199" s="1956"/>
      <c r="D199" s="1956"/>
      <c r="E199" s="1956"/>
      <c r="F199" s="1956"/>
      <c r="G199" s="1956"/>
      <c r="H199" s="1956"/>
      <c r="I199" s="1956"/>
      <c r="J199" s="1956"/>
      <c r="K199" s="1956"/>
      <c r="M199" s="1957"/>
      <c r="N199" s="1957"/>
      <c r="O199" s="1957"/>
      <c r="Q199" s="1854"/>
      <c r="R199" s="1854"/>
      <c r="U199" s="1956"/>
      <c r="V199" s="1956"/>
      <c r="W199" s="1956"/>
      <c r="X199" s="1956"/>
      <c r="Y199" s="1956"/>
      <c r="Z199" s="1956"/>
      <c r="AA199" s="1956"/>
      <c r="AB199" s="1956"/>
      <c r="AC199" s="1956"/>
      <c r="AD199" s="1956"/>
      <c r="AE199" s="1956"/>
      <c r="AF199" s="1956"/>
      <c r="AG199" s="1956"/>
    </row>
    <row r="200" spans="1:39" ht="7" hidden="1" customHeight="1">
      <c r="B200" s="1956"/>
      <c r="C200" s="1956"/>
      <c r="D200" s="1956"/>
      <c r="E200" s="1956"/>
      <c r="F200" s="1956"/>
      <c r="G200" s="1956"/>
      <c r="H200" s="1956"/>
      <c r="I200" s="1956"/>
      <c r="J200" s="1956"/>
      <c r="K200" s="1956"/>
      <c r="M200" s="1957"/>
      <c r="N200" s="1957"/>
      <c r="O200" s="1957"/>
      <c r="Q200" s="1854"/>
      <c r="R200" s="1854"/>
      <c r="U200" s="1956"/>
      <c r="V200" s="1956"/>
      <c r="W200" s="1956"/>
      <c r="X200" s="1956"/>
      <c r="Y200" s="1956"/>
      <c r="Z200" s="1956"/>
      <c r="AA200" s="1956"/>
      <c r="AB200" s="1956"/>
      <c r="AC200" s="1956"/>
      <c r="AD200" s="1956"/>
      <c r="AE200" s="1956"/>
      <c r="AF200" s="1956"/>
      <c r="AG200" s="1956"/>
    </row>
    <row r="201" spans="1:39" ht="30" hidden="1" customHeight="1">
      <c r="B201" s="1749" t="str">
        <f>Text!AK$23</f>
        <v>Gesellschaft</v>
      </c>
      <c r="C201" s="1749"/>
      <c r="D201" s="1749"/>
      <c r="E201" s="1749"/>
      <c r="F201" s="1250"/>
      <c r="G201" s="2006" t="str">
        <f>Text!C$568</f>
        <v>Im Bereich ''Gesellschaft'' wird ein Erfüllungsgrad von 0% erzielt</v>
      </c>
      <c r="H201" s="2006"/>
      <c r="I201" s="2006"/>
      <c r="J201" s="2006"/>
      <c r="K201" s="2006"/>
      <c r="L201" s="1304"/>
      <c r="M201"/>
      <c r="N201"/>
      <c r="O201"/>
      <c r="Q201" s="1854"/>
      <c r="R201" s="1854"/>
      <c r="S201" s="14"/>
      <c r="T201" s="14"/>
      <c r="U201" s="2004"/>
      <c r="V201" s="2004"/>
      <c r="W201" s="2004"/>
      <c r="X201" s="2004"/>
      <c r="Y201" s="2004"/>
      <c r="Z201" s="2004"/>
      <c r="AA201" s="1453"/>
      <c r="AB201" s="1981"/>
      <c r="AC201" s="1981"/>
      <c r="AD201" s="1981"/>
      <c r="AE201" s="1981"/>
      <c r="AF201" s="1981"/>
      <c r="AG201" s="1981"/>
      <c r="AI201"/>
      <c r="AJ201"/>
      <c r="AK201"/>
      <c r="AL201"/>
      <c r="AM201"/>
    </row>
    <row r="202" spans="1:39" s="4" customFormat="1" ht="2.15" hidden="1" customHeight="1">
      <c r="C202" s="21"/>
      <c r="D202" s="125"/>
      <c r="E202" s="125"/>
      <c r="F202" s="125"/>
      <c r="G202" s="1445"/>
      <c r="H202" s="1445"/>
      <c r="I202" s="1445"/>
      <c r="J202" s="1445"/>
      <c r="K202" s="1445"/>
      <c r="L202" s="993"/>
      <c r="M202" s="993"/>
      <c r="N202" s="993"/>
      <c r="O202" s="993"/>
      <c r="P202" s="125"/>
      <c r="Q202" s="125"/>
      <c r="R202" s="125"/>
      <c r="S202" s="125"/>
      <c r="T202" s="125"/>
      <c r="U202" s="1445"/>
      <c r="V202" s="1445"/>
      <c r="W202" s="1445"/>
      <c r="X202" s="1445"/>
      <c r="Y202" s="1445"/>
      <c r="Z202" s="1445"/>
      <c r="AA202" s="125"/>
      <c r="AB202" s="125"/>
      <c r="AC202" s="125"/>
      <c r="AD202" s="125"/>
      <c r="AE202" s="125"/>
      <c r="AF202" s="125"/>
      <c r="AG202" s="125"/>
      <c r="AH202" s="125"/>
      <c r="AI202" s="125"/>
      <c r="AJ202" s="125"/>
      <c r="AK202" s="125"/>
      <c r="AL202" s="125"/>
    </row>
    <row r="203" spans="1:39" s="240" customFormat="1" ht="30" hidden="1" customHeight="1">
      <c r="A203" s="1"/>
      <c r="B203" s="1853" t="str">
        <f>Text!$AK$38</f>
        <v>Wirtschaft</v>
      </c>
      <c r="C203" s="1853"/>
      <c r="D203" s="1853"/>
      <c r="E203" s="1853"/>
      <c r="F203" s="1252"/>
      <c r="G203" s="2007" t="str">
        <f>Text!C$569</f>
        <v>Im Bereich ''Wirtschaft'' wird ein Erfüllungsgrad von 0% erzielt</v>
      </c>
      <c r="H203" s="2007"/>
      <c r="I203" s="2007"/>
      <c r="J203" s="2007"/>
      <c r="K203" s="2007"/>
      <c r="L203" s="1304"/>
      <c r="M203"/>
      <c r="N203"/>
      <c r="O203"/>
      <c r="P203" s="1"/>
      <c r="Q203" s="1854"/>
      <c r="R203" s="1854"/>
      <c r="S203" s="14"/>
      <c r="T203" s="14"/>
      <c r="U203" s="2004"/>
      <c r="V203" s="2004"/>
      <c r="W203" s="2004"/>
      <c r="X203" s="2004"/>
      <c r="Y203" s="2004"/>
      <c r="Z203" s="2004"/>
      <c r="AA203" s="1453"/>
      <c r="AB203" s="1981"/>
      <c r="AC203" s="1981"/>
      <c r="AD203" s="1981"/>
      <c r="AE203" s="1981"/>
      <c r="AF203" s="1981"/>
      <c r="AG203" s="1981"/>
      <c r="AH203" s="235"/>
      <c r="AI203" s="241"/>
    </row>
    <row r="204" spans="1:39" customFormat="1" ht="2.15" hidden="1" customHeight="1">
      <c r="B204" s="1272"/>
      <c r="C204" s="1272"/>
      <c r="D204" s="1272"/>
      <c r="E204" s="1272"/>
      <c r="F204" s="1273"/>
      <c r="G204" s="1447"/>
      <c r="H204" s="1447"/>
      <c r="I204" s="1447"/>
      <c r="J204" s="1447"/>
      <c r="K204" s="1447"/>
      <c r="M204" s="238"/>
      <c r="N204" s="238"/>
      <c r="O204" s="238"/>
      <c r="Q204" s="1275"/>
      <c r="R204" s="1275"/>
      <c r="S204" s="14"/>
      <c r="T204" s="14"/>
      <c r="U204" s="1452"/>
      <c r="V204" s="1452"/>
      <c r="W204" s="1452"/>
      <c r="X204" s="1452"/>
      <c r="Y204" s="1452"/>
      <c r="Z204" s="1452"/>
      <c r="AA204" s="1453"/>
      <c r="AB204" s="1454"/>
      <c r="AC204" s="1454"/>
      <c r="AD204" s="1454"/>
      <c r="AE204" s="1454"/>
      <c r="AF204" s="1454"/>
      <c r="AG204" s="1455"/>
    </row>
    <row r="205" spans="1:39" ht="30" hidden="1" customHeight="1">
      <c r="B205" s="1891" t="str">
        <f>Text!$AK$46</f>
        <v>Umwelt</v>
      </c>
      <c r="C205" s="1891"/>
      <c r="D205" s="1891"/>
      <c r="E205" s="1891"/>
      <c r="F205" s="1249"/>
      <c r="G205" s="2003" t="str">
        <f>Text!C$570</f>
        <v>Im Bereich ''Umwelt'' wird ein Erfüllungsgrad von 0% erzielt</v>
      </c>
      <c r="H205" s="2003"/>
      <c r="I205" s="2003"/>
      <c r="J205" s="2003"/>
      <c r="K205" s="2003"/>
      <c r="L205" s="1304"/>
      <c r="M205"/>
      <c r="N205"/>
      <c r="O205"/>
      <c r="Q205" s="1854"/>
      <c r="R205" s="1854"/>
      <c r="S205" s="14"/>
      <c r="T205" s="14"/>
      <c r="U205" s="2004"/>
      <c r="V205" s="2004"/>
      <c r="W205" s="2004"/>
      <c r="X205" s="2004"/>
      <c r="Y205" s="2004"/>
      <c r="Z205" s="2004"/>
      <c r="AA205" s="1453"/>
      <c r="AB205" s="1981"/>
      <c r="AC205" s="1981"/>
      <c r="AD205" s="1981"/>
      <c r="AE205" s="1981"/>
      <c r="AF205" s="1981"/>
      <c r="AG205" s="1981"/>
    </row>
    <row r="206" spans="1:39" customFormat="1" ht="2.15" hidden="1" customHeight="1">
      <c r="B206" s="1272"/>
      <c r="C206" s="1272"/>
      <c r="D206" s="1272"/>
      <c r="E206" s="1272"/>
      <c r="F206" s="1273"/>
      <c r="G206" s="1447"/>
      <c r="H206" s="1447"/>
      <c r="I206" s="1447"/>
      <c r="J206" s="1447"/>
      <c r="K206" s="1447"/>
      <c r="M206" s="238"/>
      <c r="N206" s="238"/>
      <c r="O206" s="238"/>
      <c r="Q206" s="1275"/>
      <c r="R206" s="1275"/>
      <c r="S206" s="14"/>
      <c r="T206" s="14"/>
      <c r="U206" s="1452"/>
      <c r="V206" s="1452"/>
      <c r="W206" s="1452"/>
      <c r="X206" s="1452"/>
      <c r="Y206" s="1452"/>
      <c r="Z206" s="1452"/>
      <c r="AA206" s="1453"/>
      <c r="AB206" s="1454"/>
      <c r="AC206" s="1454"/>
      <c r="AD206" s="1454"/>
      <c r="AE206" s="1454"/>
      <c r="AF206" s="1454"/>
      <c r="AG206" s="1455"/>
    </row>
    <row r="207" spans="1:39" ht="31" hidden="1" customHeight="1">
      <c r="B207" s="1893" t="str">
        <f>Text!$C$590</f>
        <v>Gesamtnote</v>
      </c>
      <c r="C207" s="1893"/>
      <c r="D207" s="1893"/>
      <c r="E207" s="1893"/>
      <c r="F207" s="1277"/>
      <c r="G207" s="2005" t="str">
        <f>Text!C$578</f>
        <v>Das Projekt wurde als 0 % nachhaltig beim Pre-Check bewertet</v>
      </c>
      <c r="H207" s="2005"/>
      <c r="I207" s="2005"/>
      <c r="J207" s="2005"/>
      <c r="K207" s="2005"/>
      <c r="L207" s="1304"/>
      <c r="O207" s="44"/>
      <c r="Q207" s="1854"/>
      <c r="R207" s="1854"/>
      <c r="S207" s="14"/>
      <c r="T207" s="14"/>
      <c r="U207" s="2004"/>
      <c r="V207" s="2004"/>
      <c r="W207" s="2004"/>
      <c r="X207" s="2004"/>
      <c r="Y207" s="2004"/>
      <c r="Z207" s="2004"/>
      <c r="AA207" s="1453"/>
      <c r="AB207" s="1981"/>
      <c r="AC207" s="1981"/>
      <c r="AD207" s="1981"/>
      <c r="AE207" s="1981"/>
      <c r="AF207" s="1981"/>
      <c r="AG207" s="1981"/>
    </row>
    <row r="208" spans="1:39" customFormat="1" ht="10" hidden="1" customHeight="1">
      <c r="B208" s="1272"/>
      <c r="C208" s="1272"/>
      <c r="D208" s="1272"/>
      <c r="E208" s="1272"/>
      <c r="F208" s="1273"/>
      <c r="G208" s="1274"/>
      <c r="H208" s="1274"/>
      <c r="I208" s="1274"/>
      <c r="J208" s="1274"/>
      <c r="K208" s="1274"/>
      <c r="M208" s="238"/>
      <c r="N208" s="238"/>
      <c r="O208" s="238"/>
      <c r="Q208" s="1275"/>
      <c r="R208" s="1275"/>
      <c r="S208" s="219"/>
      <c r="T208" s="219"/>
      <c r="U208" s="1274"/>
      <c r="V208" s="1274"/>
      <c r="W208" s="1274"/>
      <c r="X208" s="1274"/>
      <c r="Y208" s="1274"/>
      <c r="Z208" s="1274"/>
      <c r="AA208" s="1273"/>
      <c r="AB208" s="1272"/>
      <c r="AC208" s="1272"/>
      <c r="AD208" s="1272"/>
      <c r="AE208" s="1272"/>
      <c r="AF208" s="1272"/>
      <c r="AG208" s="1276"/>
    </row>
    <row r="209" spans="1:38" s="244" customFormat="1" ht="37.5" hidden="1" customHeight="1">
      <c r="A209" s="44"/>
      <c r="B209" s="44"/>
      <c r="C209" s="44"/>
      <c r="D209" s="1253" t="str">
        <f>Text!C$585</f>
        <v>Anmerkungen:</v>
      </c>
      <c r="E209" s="1253"/>
      <c r="F209" s="1253"/>
      <c r="G209" s="1253"/>
      <c r="H209" s="1253"/>
      <c r="I209" s="1253"/>
      <c r="J209" s="1253"/>
      <c r="K209" s="1253"/>
      <c r="L209" s="1253"/>
      <c r="M209" s="1253"/>
      <c r="N209" s="1253"/>
      <c r="O209" s="1784"/>
      <c r="P209" s="1784"/>
      <c r="Q209" s="1784"/>
      <c r="R209" s="1784"/>
      <c r="S209" s="1784"/>
      <c r="T209" s="1784"/>
      <c r="U209" s="1784"/>
      <c r="V209" s="1784"/>
      <c r="W209" s="1784"/>
      <c r="X209" s="1784"/>
      <c r="Y209" s="1784"/>
      <c r="Z209" s="1784"/>
      <c r="AA209" s="1784"/>
      <c r="AB209" s="1784"/>
      <c r="AC209" s="1784"/>
      <c r="AD209" s="1784"/>
      <c r="AE209" s="1784"/>
      <c r="AF209" s="1784"/>
      <c r="AG209" s="159"/>
      <c r="AH209" s="1254"/>
      <c r="AI209" s="1254"/>
      <c r="AJ209" s="1254"/>
      <c r="AK209" s="1254"/>
      <c r="AL209" s="1254"/>
    </row>
    <row r="210" spans="1:38" s="244" customFormat="1" ht="20.149999999999999" hidden="1" customHeight="1">
      <c r="A210" s="44"/>
      <c r="B210" s="44"/>
      <c r="C210" s="44"/>
      <c r="D210" s="476"/>
      <c r="E210" s="476"/>
      <c r="F210" s="476"/>
      <c r="G210" s="476"/>
      <c r="H210" s="476"/>
      <c r="I210" s="476"/>
      <c r="J210" s="476"/>
      <c r="K210" s="476"/>
      <c r="L210" s="476"/>
      <c r="M210" s="476"/>
      <c r="N210" s="48"/>
      <c r="AG210" s="1254"/>
      <c r="AH210" s="1254"/>
      <c r="AI210" s="1254"/>
      <c r="AJ210" s="1254"/>
      <c r="AK210" s="1254"/>
      <c r="AL210" s="1254"/>
    </row>
    <row r="211" spans="1:38" ht="14.5" hidden="1" customHeight="1">
      <c r="D211" s="476"/>
      <c r="E211" s="476"/>
      <c r="F211" s="476"/>
      <c r="G211" s="476"/>
      <c r="H211" s="476"/>
      <c r="I211" s="476"/>
      <c r="J211" s="476"/>
      <c r="K211" s="476"/>
      <c r="L211" s="476"/>
      <c r="M211" s="476"/>
      <c r="O211" s="1788" t="str">
        <f>Text!$C$586&amp;" "&amp;Text!$C$587&amp;"https://www.nnbs.ch/instrumente-und-hilfsmittel"</f>
        <v>Eine Erklärung zum Bewertungsmechanismus im Pre-Check findet sich in der Einleitung. Sie können über das Popup-Menü im Fensterreiter dorthin gelangen. Weitere Details zur SNBS-Bewertung finden sich im offiziellen Kriterienkatalog: https://www.nnbs.ch/instrumente-und-hilfsmittel</v>
      </c>
      <c r="P211" s="1788"/>
      <c r="Q211" s="1788"/>
      <c r="R211" s="1788"/>
      <c r="S211" s="1788"/>
      <c r="T211" s="1788"/>
      <c r="U211" s="1788"/>
      <c r="V211" s="1788"/>
      <c r="W211" s="1788"/>
      <c r="X211" s="1788"/>
      <c r="Y211" s="1788"/>
      <c r="Z211" s="1788"/>
      <c r="AA211" s="1788"/>
      <c r="AB211" s="1788"/>
      <c r="AC211" s="1788"/>
      <c r="AD211" s="1788"/>
      <c r="AE211" s="1788"/>
      <c r="AF211" s="1788"/>
      <c r="AG211" s="1254"/>
      <c r="AH211" s="1254"/>
      <c r="AI211" s="1254"/>
      <c r="AJ211" s="1254"/>
      <c r="AK211" s="1254"/>
      <c r="AL211" s="1254"/>
    </row>
    <row r="212" spans="1:38" hidden="1">
      <c r="D212" s="476"/>
      <c r="E212" s="476"/>
      <c r="F212" s="476"/>
      <c r="G212" s="476"/>
      <c r="H212" s="476"/>
      <c r="I212" s="476"/>
      <c r="J212" s="476"/>
      <c r="K212" s="476"/>
      <c r="L212" s="476"/>
      <c r="M212" s="476"/>
      <c r="O212" s="1788"/>
      <c r="P212" s="1788"/>
      <c r="Q212" s="1788"/>
      <c r="R212" s="1788"/>
      <c r="S212" s="1788"/>
      <c r="T212" s="1788"/>
      <c r="U212" s="1788"/>
      <c r="V212" s="1788"/>
      <c r="W212" s="1788"/>
      <c r="X212" s="1788"/>
      <c r="Y212" s="1788"/>
      <c r="Z212" s="1788"/>
      <c r="AA212" s="1788"/>
      <c r="AB212" s="1788"/>
      <c r="AC212" s="1788"/>
      <c r="AD212" s="1788"/>
      <c r="AE212" s="1788"/>
      <c r="AF212" s="1788"/>
    </row>
    <row r="213" spans="1:38" hidden="1">
      <c r="D213" s="476"/>
      <c r="E213" s="476"/>
      <c r="F213" s="476"/>
      <c r="G213" s="476"/>
      <c r="H213" s="476"/>
      <c r="I213" s="476"/>
      <c r="J213" s="476"/>
      <c r="K213" s="476"/>
      <c r="L213" s="476"/>
      <c r="M213" s="476"/>
      <c r="AA213" s="1"/>
    </row>
    <row r="214" spans="1:38" ht="14.5" hidden="1" customHeight="1">
      <c r="D214" s="476"/>
      <c r="E214" s="476"/>
      <c r="F214" s="476"/>
      <c r="G214" s="476"/>
      <c r="H214" s="476"/>
      <c r="I214" s="476"/>
      <c r="J214" s="476"/>
      <c r="K214" s="476"/>
      <c r="L214" s="476"/>
      <c r="M214" s="476"/>
      <c r="O214" s="1728" t="str">
        <f>Text!$C$574</f>
        <v>Bei Erneuerungen dürften im Rahmen einer SNBS-Zertifizierung folgende Kriterien eine ungenügende Bewertung aufweisen, solange die Durchschnittsbenotung im übergeordneten Thema genügend bleibt:</v>
      </c>
      <c r="P214" s="1728"/>
      <c r="Q214" s="1728"/>
      <c r="R214" s="1728"/>
      <c r="S214" s="1728"/>
      <c r="T214" s="1728"/>
      <c r="U214" s="1728"/>
      <c r="V214" s="1728"/>
      <c r="W214" s="1728"/>
      <c r="X214" s="1728"/>
      <c r="Y214" s="1728"/>
      <c r="Z214" s="1728"/>
      <c r="AA214" s="1728"/>
      <c r="AB214" s="1728"/>
      <c r="AC214" s="1728"/>
      <c r="AD214" s="1728"/>
      <c r="AE214" s="1728"/>
      <c r="AF214" s="1728"/>
    </row>
    <row r="215" spans="1:38" ht="15" hidden="1" thickBot="1">
      <c r="D215" s="476"/>
      <c r="E215" s="476"/>
      <c r="F215" s="476"/>
      <c r="G215" s="476"/>
      <c r="H215" s="476"/>
      <c r="I215" s="476"/>
      <c r="J215" s="476"/>
      <c r="K215" s="476"/>
      <c r="L215" s="476"/>
      <c r="M215" s="476"/>
      <c r="O215" s="1728"/>
      <c r="P215" s="1728"/>
      <c r="Q215" s="1728"/>
      <c r="R215" s="1728"/>
      <c r="S215" s="1728"/>
      <c r="T215" s="1728"/>
      <c r="U215" s="1728"/>
      <c r="V215" s="1728"/>
      <c r="W215" s="1728"/>
      <c r="X215" s="1728"/>
      <c r="Y215" s="1728"/>
      <c r="Z215" s="1728"/>
      <c r="AA215" s="1728"/>
      <c r="AB215" s="1728"/>
      <c r="AC215" s="1728"/>
      <c r="AD215" s="1728"/>
      <c r="AE215" s="1728"/>
      <c r="AF215" s="1728"/>
    </row>
    <row r="216" spans="1:38" ht="15" hidden="1" thickBot="1">
      <c r="D216" s="476"/>
      <c r="E216" s="476"/>
      <c r="F216" s="476"/>
      <c r="G216" s="476"/>
      <c r="H216" s="476"/>
      <c r="I216" s="476"/>
      <c r="J216" s="476"/>
      <c r="K216" s="476"/>
      <c r="L216" s="476"/>
      <c r="M216" s="476"/>
      <c r="O216" s="1962" t="str">
        <f>Text!$AQ$34&amp;" "&amp;Text!$AR$34</f>
        <v>145 Winterlicher Wärmeschutz</v>
      </c>
      <c r="P216" s="1962"/>
      <c r="Q216" s="1266"/>
      <c r="R216" s="1963" t="str">
        <f>Text!$AQ$42&amp;" "&amp;Text!$AR$42</f>
        <v>222 Nutzungsdichte</v>
      </c>
      <c r="S216" s="1964"/>
      <c r="T216" s="1964"/>
      <c r="U216" s="1965"/>
      <c r="AA216" s="1"/>
    </row>
    <row r="217" spans="1:38" ht="14.5" hidden="1" customHeight="1" thickBot="1">
      <c r="D217" s="476"/>
      <c r="E217" s="476"/>
      <c r="F217" s="476"/>
      <c r="G217" s="476"/>
      <c r="H217" s="476"/>
      <c r="I217" s="476"/>
      <c r="J217" s="476"/>
      <c r="K217" s="476"/>
      <c r="L217" s="476"/>
      <c r="M217" s="476"/>
      <c r="O217" s="1966" t="str">
        <f>Text!$AQ$36&amp;" "&amp;Text!$AR$36</f>
        <v>147 Schallschutz</v>
      </c>
      <c r="P217" s="1967"/>
      <c r="Q217" s="1266"/>
      <c r="R217" s="1963" t="str">
        <f>Text!$AQ$43&amp;" "&amp;Text!$AR$43</f>
        <v>223 Nutzungsflexibilität &amp; -variabilität</v>
      </c>
      <c r="S217" s="1964"/>
      <c r="T217" s="1964"/>
      <c r="U217" s="1965"/>
      <c r="AA217" s="1"/>
    </row>
    <row r="218" spans="1:38" hidden="1">
      <c r="D218" s="476"/>
      <c r="E218" s="476"/>
      <c r="F218" s="476"/>
      <c r="G218" s="476"/>
      <c r="H218" s="476"/>
      <c r="I218" s="476"/>
      <c r="J218" s="476"/>
      <c r="K218" s="476"/>
      <c r="L218" s="476"/>
      <c r="M218" s="476"/>
      <c r="AA218" s="1"/>
    </row>
    <row r="219" spans="1:38" hidden="1">
      <c r="D219" s="476"/>
      <c r="E219" s="476"/>
      <c r="F219" s="476"/>
      <c r="G219" s="476"/>
      <c r="H219" s="476"/>
      <c r="I219" s="476"/>
      <c r="J219" s="476"/>
      <c r="K219" s="476"/>
      <c r="L219" s="476"/>
      <c r="M219" s="476"/>
      <c r="O219" s="1788" t="str">
        <f>Text!$C$588</f>
        <v>Wir danken Ihnen für die Benutzung des Pre-Checks 2023.1 Hochbau und hoffen, Sie bei der Realisierung eines rundum nachhaltigen Projekts unterstützen zu können.
Um Rückmeldungen und Hinweise zur Verbesserung des Pre-Check (info@nnbs.ch) sind wir stets dankbar.</v>
      </c>
      <c r="P219" s="1788"/>
      <c r="Q219" s="1788"/>
      <c r="R219" s="1788"/>
      <c r="S219" s="1788"/>
      <c r="T219" s="1788"/>
      <c r="U219" s="1788"/>
      <c r="V219" s="1788"/>
      <c r="W219" s="1788"/>
      <c r="X219" s="1788"/>
      <c r="Y219" s="1788"/>
      <c r="Z219" s="1788"/>
      <c r="AA219" s="1788"/>
      <c r="AB219" s="1788"/>
      <c r="AC219" s="1788"/>
      <c r="AD219" s="1788"/>
      <c r="AE219" s="1788"/>
      <c r="AF219" s="1788"/>
    </row>
    <row r="220" spans="1:38" hidden="1">
      <c r="D220" s="476"/>
      <c r="E220" s="476"/>
      <c r="F220" s="476"/>
      <c r="G220" s="476"/>
      <c r="H220" s="476"/>
      <c r="I220" s="476"/>
      <c r="J220" s="476"/>
      <c r="K220" s="476"/>
      <c r="L220" s="476"/>
      <c r="M220" s="476"/>
      <c r="O220" s="1788"/>
      <c r="P220" s="1788"/>
      <c r="Q220" s="1788"/>
      <c r="R220" s="1788"/>
      <c r="S220" s="1788"/>
      <c r="T220" s="1788"/>
      <c r="U220" s="1788"/>
      <c r="V220" s="1788"/>
      <c r="W220" s="1788"/>
      <c r="X220" s="1788"/>
      <c r="Y220" s="1788"/>
      <c r="Z220" s="1788"/>
      <c r="AA220" s="1788"/>
      <c r="AB220" s="1788"/>
      <c r="AC220" s="1788"/>
      <c r="AD220" s="1788"/>
      <c r="AE220" s="1788"/>
      <c r="AF220" s="1788"/>
    </row>
    <row r="221" spans="1:38" hidden="1">
      <c r="D221" s="476"/>
      <c r="E221" s="476"/>
      <c r="F221" s="476"/>
      <c r="G221" s="476"/>
      <c r="H221" s="476"/>
      <c r="I221" s="476"/>
      <c r="J221" s="476"/>
      <c r="K221" s="476"/>
      <c r="L221" s="476"/>
      <c r="M221" s="476"/>
      <c r="O221" s="1788"/>
      <c r="P221" s="1788"/>
      <c r="Q221" s="1788"/>
      <c r="R221" s="1788"/>
      <c r="S221" s="1788"/>
      <c r="T221" s="1788"/>
      <c r="U221" s="1788"/>
      <c r="V221" s="1788"/>
      <c r="W221" s="1788"/>
      <c r="X221" s="1788"/>
      <c r="Y221" s="1788"/>
      <c r="Z221" s="1788"/>
      <c r="AA221" s="1788"/>
      <c r="AB221" s="1788"/>
      <c r="AC221" s="1788"/>
      <c r="AD221" s="1788"/>
      <c r="AE221" s="1788"/>
      <c r="AF221" s="1788"/>
    </row>
    <row r="222" spans="1:38" hidden="1">
      <c r="D222" s="476"/>
      <c r="E222" s="476"/>
      <c r="F222" s="476"/>
      <c r="G222" s="476"/>
      <c r="H222" s="476"/>
      <c r="I222" s="476"/>
      <c r="J222" s="476"/>
      <c r="K222" s="476"/>
      <c r="L222" s="476"/>
      <c r="M222" s="476"/>
    </row>
    <row r="223" spans="1:38" ht="14.5" hidden="1" customHeight="1">
      <c r="D223" s="476"/>
      <c r="E223" s="476"/>
      <c r="F223" s="476"/>
      <c r="G223" s="476"/>
      <c r="H223" s="476"/>
      <c r="I223" s="476"/>
      <c r="J223" s="476"/>
      <c r="K223" s="476"/>
      <c r="L223" s="476"/>
      <c r="M223" s="476"/>
      <c r="O223" s="1784" t="str">
        <f>Text!$C$589</f>
        <v>Der Pre-Check liefert nur eine Abschätzung des Nachhaltigkeitsgrads eines Bauvorhabens und garantiert keine Zertifizierung des untersuchten Objekts. Im Einzelfall kann trotz gesamtheitlich gutem Pre-Check-Ergebnis eine Zertifizierung nicht möglich werden.
Es ist Benutzenden ausdrücklich untersagt, Ergebnisse aus dem Pre-Check für Werbezwecke (etwa in Verkaufsinformationen) zu verwenden.</v>
      </c>
      <c r="P223" s="1784"/>
      <c r="Q223" s="1784"/>
      <c r="R223" s="1784"/>
      <c r="S223" s="1784"/>
      <c r="T223" s="1784"/>
      <c r="U223" s="1784"/>
      <c r="V223" s="1784"/>
      <c r="W223" s="1784"/>
      <c r="X223" s="1784"/>
      <c r="Y223" s="1784"/>
      <c r="Z223" s="1784"/>
      <c r="AA223" s="1784"/>
      <c r="AB223" s="1784"/>
      <c r="AC223" s="1784"/>
      <c r="AD223" s="1784"/>
      <c r="AE223" s="1784"/>
      <c r="AF223" s="1784"/>
    </row>
    <row r="224" spans="1:38" hidden="1">
      <c r="D224" s="476"/>
      <c r="E224" s="476"/>
      <c r="F224" s="476"/>
      <c r="G224" s="476"/>
      <c r="H224" s="476"/>
      <c r="I224" s="476"/>
      <c r="J224" s="476"/>
      <c r="K224" s="476"/>
      <c r="L224" s="476"/>
      <c r="M224" s="476"/>
      <c r="O224" s="1784"/>
      <c r="P224" s="1784"/>
      <c r="Q224" s="1784"/>
      <c r="R224" s="1784"/>
      <c r="S224" s="1784"/>
      <c r="T224" s="1784"/>
      <c r="U224" s="1784"/>
      <c r="V224" s="1784"/>
      <c r="W224" s="1784"/>
      <c r="X224" s="1784"/>
      <c r="Y224" s="1784"/>
      <c r="Z224" s="1784"/>
      <c r="AA224" s="1784"/>
      <c r="AB224" s="1784"/>
      <c r="AC224" s="1784"/>
      <c r="AD224" s="1784"/>
      <c r="AE224" s="1784"/>
      <c r="AF224" s="1784"/>
    </row>
    <row r="225" spans="4:32" hidden="1">
      <c r="D225" s="476"/>
      <c r="E225" s="476"/>
      <c r="F225" s="476"/>
      <c r="G225" s="476"/>
      <c r="H225" s="476"/>
      <c r="I225" s="476"/>
      <c r="J225" s="476"/>
      <c r="K225" s="476"/>
      <c r="L225" s="476"/>
      <c r="M225" s="476"/>
      <c r="O225" s="1784"/>
      <c r="P225" s="1784"/>
      <c r="Q225" s="1784"/>
      <c r="R225" s="1784"/>
      <c r="S225" s="1784"/>
      <c r="T225" s="1784"/>
      <c r="U225" s="1784"/>
      <c r="V225" s="1784"/>
      <c r="W225" s="1784"/>
      <c r="X225" s="1784"/>
      <c r="Y225" s="1784"/>
      <c r="Z225" s="1784"/>
      <c r="AA225" s="1784"/>
      <c r="AB225" s="1784"/>
      <c r="AC225" s="1784"/>
      <c r="AD225" s="1784"/>
      <c r="AE225" s="1784"/>
      <c r="AF225" s="1784"/>
    </row>
    <row r="226" spans="4:32" hidden="1">
      <c r="D226" s="476"/>
      <c r="E226" s="476"/>
      <c r="F226" s="476"/>
      <c r="G226" s="476"/>
      <c r="H226" s="476"/>
      <c r="I226" s="476"/>
      <c r="J226" s="476"/>
      <c r="K226" s="476"/>
      <c r="L226" s="476"/>
      <c r="M226" s="476"/>
      <c r="O226" s="1784"/>
      <c r="P226" s="1784"/>
      <c r="Q226" s="1784"/>
      <c r="R226" s="1784"/>
      <c r="S226" s="1784"/>
      <c r="T226" s="1784"/>
      <c r="U226" s="1784"/>
      <c r="V226" s="1784"/>
      <c r="W226" s="1784"/>
      <c r="X226" s="1784"/>
      <c r="Y226" s="1784"/>
      <c r="Z226" s="1784"/>
      <c r="AA226" s="1784"/>
      <c r="AB226" s="1784"/>
      <c r="AC226" s="1784"/>
      <c r="AD226" s="1784"/>
      <c r="AE226" s="1784"/>
      <c r="AF226" s="1784"/>
    </row>
    <row r="227" spans="4:32" hidden="1"/>
    <row r="228" spans="4:32" hidden="1">
      <c r="D228" s="48"/>
      <c r="E228" s="48"/>
      <c r="F228" s="48"/>
      <c r="G228" s="48"/>
      <c r="H228" s="48"/>
      <c r="I228" s="48"/>
      <c r="J228" s="48"/>
      <c r="K228" s="48"/>
      <c r="L228" s="48"/>
      <c r="M228" s="48"/>
      <c r="O228" s="1248"/>
      <c r="P228" s="1248"/>
      <c r="Q228" s="1248"/>
      <c r="R228" s="1248"/>
      <c r="S228" s="1248"/>
      <c r="T228" s="1248"/>
      <c r="U228" s="1248"/>
      <c r="V228" s="1248"/>
      <c r="W228" s="1248"/>
      <c r="X228" s="1248"/>
      <c r="Y228" s="1248"/>
      <c r="Z228" s="1248"/>
      <c r="AA228" s="1248"/>
      <c r="AB228" s="1248"/>
      <c r="AC228" s="1248"/>
      <c r="AD228" s="1248"/>
      <c r="AE228" s="1248"/>
      <c r="AF228" s="1248"/>
    </row>
    <row r="229" spans="4:32" hidden="1">
      <c r="D229" s="48"/>
      <c r="E229" s="48"/>
      <c r="F229" s="48"/>
      <c r="G229" s="48"/>
      <c r="H229" s="48"/>
      <c r="I229" s="48"/>
      <c r="J229" s="48"/>
      <c r="K229" s="48"/>
      <c r="L229" s="48"/>
      <c r="M229" s="48"/>
      <c r="O229" s="1248"/>
      <c r="P229" s="1248"/>
      <c r="Q229" s="1248"/>
      <c r="R229" s="1248"/>
      <c r="S229" s="1248"/>
      <c r="T229" s="1248"/>
      <c r="U229" s="1248"/>
      <c r="V229" s="1248"/>
      <c r="W229" s="1248"/>
      <c r="X229" s="1248"/>
      <c r="Y229" s="1248"/>
      <c r="Z229" s="1248"/>
      <c r="AA229" s="1248"/>
      <c r="AB229" s="1248"/>
      <c r="AC229" s="1248"/>
      <c r="AD229" s="1248"/>
      <c r="AE229" s="1248"/>
      <c r="AF229" s="1248"/>
    </row>
    <row r="230" spans="4:32" ht="14.15" hidden="1" customHeight="1">
      <c r="D230" s="48"/>
      <c r="E230" s="48"/>
      <c r="F230" s="48"/>
      <c r="G230" s="48"/>
      <c r="H230" s="48"/>
      <c r="I230" s="48"/>
      <c r="J230" s="48"/>
      <c r="K230" s="48"/>
      <c r="L230" s="48"/>
      <c r="M230" s="48"/>
      <c r="O230" s="1248"/>
      <c r="P230" s="1248"/>
      <c r="Q230" s="1248"/>
      <c r="R230" s="1248"/>
      <c r="S230" s="1248"/>
      <c r="T230" s="1248"/>
      <c r="U230" s="1248"/>
      <c r="V230" s="1248"/>
      <c r="W230" s="1248"/>
      <c r="X230" s="1248"/>
      <c r="Y230" s="1248"/>
      <c r="Z230" s="1248"/>
      <c r="AA230" s="1248"/>
      <c r="AB230" s="1248"/>
      <c r="AC230" s="1248"/>
      <c r="AD230" s="1248"/>
      <c r="AE230" s="1248"/>
      <c r="AF230" s="1248"/>
    </row>
    <row r="231" spans="4:32" hidden="1">
      <c r="D231" s="48"/>
      <c r="E231" s="48"/>
      <c r="F231" s="48"/>
      <c r="G231" s="48"/>
      <c r="H231" s="48"/>
      <c r="I231" s="48"/>
      <c r="J231" s="48"/>
      <c r="K231" s="48"/>
      <c r="L231" s="48"/>
      <c r="M231" s="48"/>
      <c r="O231" s="1248"/>
      <c r="P231" s="1248"/>
      <c r="Q231" s="1248"/>
      <c r="R231" s="1248"/>
      <c r="S231" s="1248"/>
      <c r="T231" s="1248"/>
      <c r="U231" s="1248"/>
      <c r="V231" s="1248"/>
      <c r="W231" s="1248"/>
      <c r="X231" s="1248"/>
      <c r="Y231" s="1248"/>
      <c r="Z231" s="1248"/>
      <c r="AA231" s="1248"/>
      <c r="AB231" s="1248"/>
      <c r="AC231" s="1248"/>
      <c r="AD231" s="1248"/>
      <c r="AE231" s="1248"/>
      <c r="AF231" s="1248"/>
    </row>
    <row r="232" spans="4:32" hidden="1">
      <c r="D232" s="48"/>
      <c r="E232" s="48"/>
      <c r="F232" s="48"/>
      <c r="G232" s="48"/>
      <c r="H232" s="48"/>
      <c r="I232" s="48"/>
      <c r="J232" s="48"/>
      <c r="K232" s="48"/>
      <c r="L232" s="48"/>
      <c r="M232" s="48"/>
      <c r="O232" s="1248"/>
      <c r="P232" s="1248"/>
      <c r="Q232" s="1248"/>
      <c r="R232" s="1248"/>
      <c r="S232" s="1248"/>
      <c r="T232" s="1248"/>
      <c r="U232" s="1248"/>
      <c r="V232" s="1248"/>
      <c r="W232" s="1248"/>
      <c r="X232" s="1248"/>
      <c r="Y232" s="1248"/>
      <c r="Z232" s="1248"/>
      <c r="AA232" s="1248"/>
      <c r="AB232" s="1248"/>
      <c r="AC232" s="1248"/>
      <c r="AD232" s="1248"/>
      <c r="AE232" s="1248"/>
      <c r="AF232" s="1248"/>
    </row>
    <row r="233" spans="4:32" hidden="1">
      <c r="H233"/>
    </row>
    <row r="234" spans="4:32" hidden="1"/>
    <row r="235" spans="4:32" hidden="1"/>
    <row r="236" spans="4:32" hidden="1"/>
    <row r="237" spans="4:32" hidden="1"/>
    <row r="238" spans="4:32" hidden="1"/>
    <row r="239" spans="4:32" hidden="1"/>
    <row r="240" spans="4:32"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spans="3:32" hidden="1"/>
    <row r="258" spans="3:32" hidden="1"/>
    <row r="259" spans="3:32" hidden="1"/>
    <row r="260" spans="3:32" hidden="1"/>
    <row r="261" spans="3:32" hidden="1"/>
    <row r="262" spans="3:32" ht="30" hidden="1" customHeight="1">
      <c r="C262" s="1728" t="str">
        <f>Text!$C$563</f>
        <v>Die ungenügende Kriterien sowie die ''Stolpersteine'' werden nachfolgend - auf die jeweiligen Bereiche aufgeteilt - noch spezifisch aufgeführt.</v>
      </c>
      <c r="D262" s="1728"/>
      <c r="E262" s="1728"/>
      <c r="F262" s="1728"/>
      <c r="G262" s="1728"/>
      <c r="H262" s="1728"/>
      <c r="I262" s="1728"/>
      <c r="J262" s="1728"/>
      <c r="K262" s="1728"/>
      <c r="L262" s="1728"/>
      <c r="M262" s="1728"/>
      <c r="N262" s="1728"/>
      <c r="O262" s="1728"/>
      <c r="Q262" s="1767"/>
      <c r="R262" s="1767"/>
      <c r="S262" s="1767"/>
      <c r="T262" s="1767"/>
      <c r="U262" s="1767"/>
      <c r="V262" s="1767"/>
      <c r="W262" s="1767"/>
      <c r="X262" s="1767"/>
      <c r="Y262" s="1767"/>
      <c r="Z262" s="1767"/>
      <c r="AA262" s="1767"/>
      <c r="AB262" s="1767"/>
      <c r="AC262" s="1767"/>
      <c r="AD262" s="1767"/>
      <c r="AE262" s="1767"/>
      <c r="AF262" s="1767"/>
    </row>
    <row r="263" spans="3:32" ht="10.4" hidden="1" customHeight="1">
      <c r="Z263" s="50"/>
      <c r="AA263" s="1"/>
    </row>
    <row r="264" spans="3:32" ht="30" hidden="1" customHeight="1">
      <c r="C264" s="1767" t="str">
        <f>Text!$C$564</f>
        <v>Die folgenden Kriterien werden als "ungenügend" bewertet und erfordern Nachbesserungen, um den Nachhaltigkeitsansprüchen zu genügen:</v>
      </c>
      <c r="D264" s="1767"/>
      <c r="E264" s="1767"/>
      <c r="F264" s="1767"/>
      <c r="G264" s="1767"/>
      <c r="H264" s="1767"/>
      <c r="I264" s="1767"/>
      <c r="J264" s="1767"/>
      <c r="K264" s="1767"/>
      <c r="L264" s="1767"/>
      <c r="M264" s="1767"/>
      <c r="N264" s="1767"/>
      <c r="O264" s="1767"/>
      <c r="Q264" s="1767"/>
      <c r="R264" s="1767"/>
      <c r="S264" s="1767"/>
      <c r="T264" s="1767"/>
      <c r="U264" s="1767"/>
      <c r="V264" s="1767"/>
      <c r="W264" s="1767"/>
      <c r="X264" s="1767"/>
      <c r="Y264" s="1767"/>
      <c r="Z264" s="1767"/>
      <c r="AA264" s="1767"/>
      <c r="AB264" s="1767"/>
      <c r="AC264" s="1767"/>
      <c r="AD264" s="1767"/>
      <c r="AE264" s="1767"/>
      <c r="AF264" s="1767"/>
    </row>
    <row r="265" spans="3:32" hidden="1">
      <c r="K265" s="104"/>
      <c r="Z265" s="50"/>
      <c r="AA265" s="1"/>
    </row>
    <row r="266" spans="3:32" ht="30" hidden="1" customHeight="1">
      <c r="C266" s="1958" t="str">
        <f>Text!$AK$23</f>
        <v>Gesellschaft</v>
      </c>
      <c r="D266" s="1958"/>
      <c r="E266" s="2002" t="str">
        <f>Text!$BH$310</f>
        <v/>
      </c>
      <c r="F266" s="1728"/>
      <c r="G266" s="1728"/>
      <c r="H266" s="1728"/>
      <c r="I266" s="1728"/>
      <c r="J266" s="1728"/>
      <c r="K266" s="1728"/>
      <c r="L266" s="1728"/>
      <c r="M266" s="1728"/>
      <c r="N266" s="1728"/>
      <c r="O266" s="1728"/>
      <c r="Q266" s="1958"/>
      <c r="R266" s="1958"/>
      <c r="S266" s="1958"/>
      <c r="T266" s="1958"/>
      <c r="U266" s="1728"/>
      <c r="V266" s="1728"/>
      <c r="W266" s="1728"/>
      <c r="X266" s="1728"/>
      <c r="Y266" s="1728"/>
      <c r="Z266" s="1728"/>
      <c r="AA266" s="1728"/>
      <c r="AB266" s="1728"/>
      <c r="AC266" s="1728"/>
      <c r="AD266" s="1728"/>
      <c r="AE266" s="1728"/>
      <c r="AF266" s="1728"/>
    </row>
    <row r="267" spans="3:32" ht="30" hidden="1" customHeight="1">
      <c r="C267" s="1959" t="str">
        <f>Text!$AK$38</f>
        <v>Wirtschaft</v>
      </c>
      <c r="D267" s="1959"/>
      <c r="E267" s="2002" t="str">
        <f>Text!$BH$311</f>
        <v/>
      </c>
      <c r="F267" s="1728"/>
      <c r="G267" s="1728"/>
      <c r="H267" s="1728"/>
      <c r="I267" s="1728"/>
      <c r="J267" s="1728"/>
      <c r="K267" s="1728"/>
      <c r="L267" s="1728"/>
      <c r="M267" s="1728"/>
      <c r="N267" s="1728"/>
      <c r="O267" s="1728"/>
      <c r="Q267" s="1959"/>
      <c r="R267" s="1959"/>
      <c r="S267" s="1959"/>
      <c r="T267" s="1959"/>
      <c r="U267" s="1728"/>
      <c r="V267" s="1728"/>
      <c r="W267" s="1728"/>
      <c r="X267" s="1728"/>
      <c r="Y267" s="1728"/>
      <c r="Z267" s="1728"/>
      <c r="AA267" s="1728"/>
      <c r="AB267" s="1728"/>
      <c r="AC267" s="1728"/>
      <c r="AD267" s="1728"/>
      <c r="AE267" s="1728"/>
      <c r="AF267" s="1728"/>
    </row>
    <row r="268" spans="3:32" ht="30" hidden="1" customHeight="1">
      <c r="C268" s="1960" t="str">
        <f>Text!$AK$46</f>
        <v>Umwelt</v>
      </c>
      <c r="D268" s="1960"/>
      <c r="E268" s="2002" t="str">
        <f>Text!$BH$312</f>
        <v/>
      </c>
      <c r="F268" s="1728"/>
      <c r="G268" s="1728"/>
      <c r="H268" s="1728"/>
      <c r="I268" s="1728"/>
      <c r="J268" s="1728"/>
      <c r="K268" s="1728"/>
      <c r="L268" s="1728"/>
      <c r="M268" s="1728"/>
      <c r="N268" s="1728"/>
      <c r="O268" s="1728"/>
      <c r="Q268" s="1960"/>
      <c r="R268" s="1960"/>
      <c r="S268" s="1960"/>
      <c r="T268" s="1960"/>
      <c r="U268" s="1728"/>
      <c r="V268" s="1728"/>
      <c r="W268" s="1728"/>
      <c r="X268" s="1728"/>
      <c r="Y268" s="1728"/>
      <c r="Z268" s="1728"/>
      <c r="AA268" s="1728"/>
      <c r="AB268" s="1728"/>
      <c r="AC268" s="1728"/>
      <c r="AD268" s="1728"/>
      <c r="AE268" s="1728"/>
      <c r="AF268" s="1728"/>
    </row>
    <row r="269" spans="3:32" ht="10.4" hidden="1" customHeight="1">
      <c r="D269" s="481"/>
      <c r="Z269" s="50"/>
      <c r="AA269" s="1"/>
    </row>
    <row r="270" spans="3:32" ht="30" hidden="1" customHeight="1">
      <c r="C270" s="1767" t="str">
        <f>Text!$C$565</f>
        <v xml:space="preserve">Folgende Kriterien werden als "Stolpersteine" im Hinblick auf die Realisierung eines gesamtheitlich nachhaltigen Projektes identifiziert: </v>
      </c>
      <c r="D270" s="1767"/>
      <c r="E270" s="1767"/>
      <c r="F270" s="1767"/>
      <c r="G270" s="1767"/>
      <c r="H270" s="1767"/>
      <c r="I270" s="1767"/>
      <c r="J270" s="1767"/>
      <c r="K270" s="1767"/>
      <c r="L270" s="1767"/>
      <c r="M270" s="1767"/>
      <c r="N270" s="1767"/>
      <c r="O270" s="1767"/>
      <c r="Q270" s="1767"/>
      <c r="R270" s="1767"/>
      <c r="S270" s="1767"/>
      <c r="T270" s="1767"/>
      <c r="U270" s="1767"/>
      <c r="V270" s="1767"/>
      <c r="W270" s="1767"/>
      <c r="X270" s="1767"/>
      <c r="Y270" s="1767"/>
      <c r="Z270" s="1767"/>
      <c r="AA270" s="1767"/>
      <c r="AB270" s="1767"/>
      <c r="AC270" s="1767"/>
      <c r="AD270" s="1767"/>
      <c r="AE270" s="1767"/>
      <c r="AF270" s="1767"/>
    </row>
    <row r="271" spans="3:32" hidden="1">
      <c r="C271" s="104"/>
      <c r="D271" s="44"/>
      <c r="E271" s="44"/>
      <c r="F271" s="44"/>
      <c r="G271" s="44"/>
      <c r="H271" s="44"/>
      <c r="I271" s="44"/>
      <c r="J271" s="104"/>
      <c r="K271" s="104"/>
      <c r="Z271" s="50"/>
      <c r="AA271" s="1"/>
    </row>
    <row r="272" spans="3:32" ht="30" hidden="1" customHeight="1">
      <c r="C272" s="1958" t="str">
        <f>Text!$AK$23</f>
        <v>Gesellschaft</v>
      </c>
      <c r="D272" s="1958"/>
      <c r="E272" s="2001" t="str">
        <f>Text!$BI$310</f>
        <v/>
      </c>
      <c r="F272" s="1734"/>
      <c r="G272" s="1734"/>
      <c r="H272" s="1734"/>
      <c r="I272" s="1734"/>
      <c r="J272" s="1734"/>
      <c r="K272" s="1734"/>
      <c r="L272" s="1734"/>
      <c r="M272" s="1734"/>
      <c r="N272" s="1734"/>
      <c r="O272" s="1734"/>
      <c r="Q272" s="1958"/>
      <c r="R272" s="1958"/>
      <c r="S272" s="1958"/>
      <c r="T272" s="1958"/>
      <c r="U272" s="1728"/>
      <c r="V272" s="1728"/>
      <c r="W272" s="1728"/>
      <c r="X272" s="1728"/>
      <c r="Y272" s="1728"/>
      <c r="Z272" s="1728"/>
      <c r="AA272" s="1728"/>
      <c r="AB272" s="1728"/>
      <c r="AC272" s="1728"/>
      <c r="AD272" s="1728"/>
      <c r="AE272" s="1728"/>
      <c r="AF272" s="1728"/>
    </row>
    <row r="273" spans="1:39" ht="30" hidden="1" customHeight="1">
      <c r="C273" s="1959" t="str">
        <f>Text!$AK$38</f>
        <v>Wirtschaft</v>
      </c>
      <c r="D273" s="1959"/>
      <c r="E273" s="2001" t="str">
        <f>Text!$BI$311</f>
        <v/>
      </c>
      <c r="F273" s="1734"/>
      <c r="G273" s="1734"/>
      <c r="H273" s="1734"/>
      <c r="I273" s="1734"/>
      <c r="J273" s="1734"/>
      <c r="K273" s="1734"/>
      <c r="L273" s="1734"/>
      <c r="M273" s="1734"/>
      <c r="N273" s="1734"/>
      <c r="O273" s="1734"/>
      <c r="Q273" s="1959"/>
      <c r="R273" s="1959"/>
      <c r="S273" s="1959"/>
      <c r="T273" s="1959"/>
      <c r="U273" s="1728"/>
      <c r="V273" s="1728"/>
      <c r="W273" s="1728"/>
      <c r="X273" s="1728"/>
      <c r="Y273" s="1728"/>
      <c r="Z273" s="1728"/>
      <c r="AA273" s="1728"/>
      <c r="AB273" s="1728"/>
      <c r="AC273" s="1728"/>
      <c r="AD273" s="1728"/>
      <c r="AE273" s="1728"/>
      <c r="AF273" s="1728"/>
    </row>
    <row r="274" spans="1:39" ht="30" hidden="1" customHeight="1">
      <c r="C274" s="1960" t="str">
        <f>Text!$AK$46</f>
        <v>Umwelt</v>
      </c>
      <c r="D274" s="1960"/>
      <c r="E274" s="2001" t="str">
        <f>Text!$BI$312</f>
        <v/>
      </c>
      <c r="F274" s="1734"/>
      <c r="G274" s="1734"/>
      <c r="H274" s="1734"/>
      <c r="I274" s="1734"/>
      <c r="J274" s="1734"/>
      <c r="K274" s="1734"/>
      <c r="L274" s="1734"/>
      <c r="M274" s="1734"/>
      <c r="N274" s="1734"/>
      <c r="O274" s="1734"/>
      <c r="Q274" s="1960"/>
      <c r="R274" s="1960"/>
      <c r="S274" s="1960"/>
      <c r="T274" s="1960"/>
      <c r="U274" s="1728"/>
      <c r="V274" s="1728"/>
      <c r="W274" s="1728"/>
      <c r="X274" s="1728"/>
      <c r="Y274" s="1728"/>
      <c r="Z274" s="1728"/>
      <c r="AA274" s="1728"/>
      <c r="AB274" s="1728"/>
      <c r="AC274" s="1728"/>
      <c r="AD274" s="1728"/>
      <c r="AE274" s="1728"/>
      <c r="AF274" s="1728"/>
    </row>
    <row r="275" spans="1:39" ht="30" hidden="1" customHeight="1">
      <c r="C275" s="1255"/>
      <c r="D275" s="1255"/>
      <c r="E275" s="1231"/>
      <c r="F275" s="1231"/>
      <c r="G275" s="1231"/>
      <c r="H275" s="1231"/>
      <c r="I275" s="1231"/>
      <c r="J275" s="1231"/>
      <c r="K275" s="1231"/>
      <c r="L275" s="1231"/>
      <c r="M275" s="1231"/>
      <c r="N275" s="1231"/>
      <c r="O275" s="1231"/>
      <c r="Q275"/>
      <c r="R275" s="1256"/>
      <c r="S275" s="1256"/>
      <c r="T275" s="1256"/>
      <c r="U275" s="1256"/>
      <c r="V275" s="1257"/>
      <c r="W275" s="1257"/>
      <c r="X275" s="1257"/>
      <c r="Y275" s="1257"/>
      <c r="Z275" s="1257"/>
      <c r="AA275" s="1257"/>
      <c r="AB275" s="1257"/>
      <c r="AC275" s="1257"/>
      <c r="AD275" s="1257"/>
      <c r="AE275" s="1257"/>
      <c r="AF275" s="1257"/>
      <c r="AG275" s="481"/>
    </row>
    <row r="276" spans="1:39" s="244" customFormat="1" ht="60" hidden="1" customHeight="1">
      <c r="A276" s="44"/>
      <c r="D276" s="1230"/>
      <c r="E276" s="1230"/>
      <c r="F276" s="1230"/>
      <c r="G276" s="1230"/>
      <c r="H276" s="1230"/>
      <c r="I276" s="1230"/>
      <c r="J276" s="1230"/>
      <c r="K276" s="1230"/>
      <c r="L276" s="1230"/>
      <c r="M276" s="1230"/>
      <c r="N276" s="1230"/>
      <c r="O276" s="1230"/>
      <c r="P276" s="1230"/>
      <c r="Q276" s="1230"/>
      <c r="R276" s="1230"/>
      <c r="S276" s="1230"/>
      <c r="T276" s="1230"/>
      <c r="U276" s="1230"/>
      <c r="V276" s="1230"/>
      <c r="W276" s="1230"/>
      <c r="X276" s="1230"/>
      <c r="Y276" s="104"/>
      <c r="Z276" s="104"/>
      <c r="AA276" s="104"/>
      <c r="AB276" s="104"/>
      <c r="AC276" s="104"/>
      <c r="AD276" s="104"/>
      <c r="AE276" s="104"/>
      <c r="AF276" s="104"/>
      <c r="AG276" s="104"/>
      <c r="AH276" s="104"/>
      <c r="AI276" s="104"/>
      <c r="AJ276" s="104"/>
    </row>
    <row r="277" spans="1:39" ht="20.149999999999999" hidden="1" customHeight="1">
      <c r="K277" s="131"/>
      <c r="L277" s="131"/>
      <c r="M277" s="78"/>
      <c r="V277" s="1267"/>
      <c r="W277" s="1267"/>
      <c r="X277" s="1267"/>
      <c r="Y277" s="1267"/>
      <c r="Z277" s="1267"/>
      <c r="AA277" s="1267"/>
      <c r="AB277" s="82"/>
      <c r="AC277" s="82"/>
      <c r="AD277" s="82"/>
      <c r="AE277" s="82"/>
      <c r="AF277" s="131"/>
      <c r="AG277" s="1234"/>
      <c r="AH277" s="475"/>
      <c r="AI277" s="78"/>
      <c r="AJ277" s="78"/>
      <c r="AK277" s="78"/>
      <c r="AL277" s="78"/>
      <c r="AM277" s="78"/>
    </row>
    <row r="278" spans="1:39" ht="5.15" hidden="1" customHeight="1">
      <c r="M278" s="78"/>
      <c r="V278" s="1267"/>
      <c r="W278" s="1267"/>
      <c r="X278" s="1267"/>
      <c r="Y278" s="1267"/>
      <c r="Z278" s="1267"/>
      <c r="AA278" s="1267"/>
      <c r="AE278" s="475"/>
      <c r="AG278" s="475"/>
      <c r="AH278" s="475"/>
      <c r="AI278" s="78"/>
      <c r="AJ278" s="78"/>
      <c r="AK278" s="78"/>
      <c r="AL278" s="78"/>
      <c r="AM278" s="78"/>
    </row>
    <row r="279" spans="1:39" ht="10.4" hidden="1" customHeight="1">
      <c r="K279" s="131"/>
      <c r="L279" s="131"/>
      <c r="M279" s="78"/>
      <c r="R279" s="1464" t="str">
        <f>Text!$C$575</f>
        <v>Bewertung der Kriterien</v>
      </c>
      <c r="S279" s="1464"/>
      <c r="T279" s="1464"/>
      <c r="U279" s="480" t="s">
        <v>417</v>
      </c>
      <c r="V279" s="1267"/>
      <c r="W279" s="1267"/>
      <c r="X279" s="1267"/>
      <c r="Y279" s="1267"/>
      <c r="Z279" s="1267"/>
      <c r="AA279" s="1267"/>
      <c r="AB279" s="674"/>
      <c r="AC279" s="674"/>
      <c r="AD279" s="674"/>
      <c r="AF279" s="131"/>
      <c r="AI279" s="78"/>
      <c r="AJ279" s="78"/>
      <c r="AK279" s="78"/>
      <c r="AL279" s="78"/>
      <c r="AM279" s="78"/>
    </row>
    <row r="280" spans="1:39" ht="2.15" hidden="1" customHeight="1">
      <c r="K280" s="131"/>
      <c r="L280" s="131"/>
      <c r="M280" s="78"/>
      <c r="V280" s="1267"/>
      <c r="W280" s="1267"/>
      <c r="X280" s="1267"/>
      <c r="Y280" s="1267"/>
      <c r="Z280" s="1267"/>
      <c r="AA280" s="1267"/>
      <c r="AB280" s="472"/>
      <c r="AF280" s="131"/>
      <c r="AI280" s="78"/>
      <c r="AJ280" s="78"/>
      <c r="AK280" s="78"/>
      <c r="AL280" s="78"/>
      <c r="AM280" s="78"/>
    </row>
    <row r="281" spans="1:39" ht="10.4" hidden="1" customHeight="1">
      <c r="K281" s="131"/>
      <c r="L281" s="131"/>
      <c r="M281" s="78"/>
      <c r="R281" s="1530" t="str">
        <f>Text!$C$559</f>
        <v>Gut</v>
      </c>
      <c r="S281" s="1530"/>
      <c r="T281" s="1530"/>
      <c r="U281" s="131" t="s">
        <v>406</v>
      </c>
      <c r="V281" s="1268"/>
      <c r="W281" s="1268"/>
      <c r="X281"/>
      <c r="Y281" s="1269"/>
      <c r="Z281" s="1269"/>
      <c r="AA281" s="1269"/>
      <c r="AB281" s="675"/>
      <c r="AC281" s="675"/>
      <c r="AD281" s="675"/>
      <c r="AF281" s="131"/>
      <c r="AI281" s="78"/>
      <c r="AJ281" s="78"/>
      <c r="AK281" s="78"/>
      <c r="AL281" s="78"/>
      <c r="AM281" s="78"/>
    </row>
    <row r="282" spans="1:39" ht="2.15" hidden="1" customHeight="1">
      <c r="K282" s="131"/>
      <c r="L282" s="131"/>
      <c r="M282" s="78"/>
      <c r="O282" s="11"/>
      <c r="R282" s="472"/>
      <c r="U282" s="131"/>
      <c r="V282"/>
      <c r="W282"/>
      <c r="X282"/>
      <c r="Y282"/>
      <c r="Z282"/>
      <c r="AA282"/>
      <c r="AB282" s="472"/>
      <c r="AF282" s="131"/>
      <c r="AI282" s="78"/>
      <c r="AJ282" s="78"/>
      <c r="AK282" s="78"/>
      <c r="AL282" s="78"/>
      <c r="AM282" s="78"/>
    </row>
    <row r="283" spans="1:39" ht="10.4" hidden="1" customHeight="1">
      <c r="K283" s="131"/>
      <c r="L283" s="131"/>
      <c r="M283" s="78"/>
      <c r="R283" s="1531" t="str">
        <f>Text!$C$558</f>
        <v>Genügend</v>
      </c>
      <c r="S283" s="1532"/>
      <c r="T283" s="1532"/>
      <c r="U283" s="131" t="s">
        <v>407</v>
      </c>
      <c r="V283" s="1270"/>
      <c r="W283" s="1270"/>
      <c r="X283"/>
      <c r="Y283" s="1271"/>
      <c r="Z283" s="1271"/>
      <c r="AA283"/>
      <c r="AB283" s="627"/>
      <c r="AC283" s="627"/>
      <c r="AD283" s="627"/>
      <c r="AE283" s="78"/>
      <c r="AF283" s="131"/>
      <c r="AG283" s="78"/>
      <c r="AH283" s="78"/>
      <c r="AI283" s="78"/>
      <c r="AJ283" s="78"/>
      <c r="AK283" s="78"/>
      <c r="AL283" s="78"/>
      <c r="AM283" s="78"/>
    </row>
    <row r="284" spans="1:39" ht="2.15" hidden="1" customHeight="1">
      <c r="K284" s="131"/>
      <c r="L284" s="131"/>
      <c r="M284" s="78"/>
      <c r="R284" s="472"/>
      <c r="U284" s="131"/>
      <c r="V284" s="11"/>
      <c r="X284" s="78"/>
      <c r="Y284" s="78"/>
      <c r="Z284" s="78"/>
      <c r="AA284" s="78"/>
      <c r="AB284" s="472"/>
      <c r="AE284" s="78"/>
      <c r="AF284" s="131"/>
      <c r="AG284" s="78"/>
      <c r="AH284" s="78"/>
      <c r="AI284" s="78"/>
      <c r="AJ284" s="78"/>
      <c r="AK284" s="78"/>
      <c r="AL284" s="78"/>
      <c r="AM284" s="78"/>
    </row>
    <row r="285" spans="1:39" ht="10.4" hidden="1" customHeight="1">
      <c r="B285" s="232"/>
      <c r="C285" s="232"/>
      <c r="D285" s="233"/>
      <c r="E285" s="232"/>
      <c r="K285" s="131"/>
      <c r="L285" s="131"/>
      <c r="Q285" s="232"/>
      <c r="R285" s="1533" t="str">
        <f>Text!$C$557</f>
        <v>Ungenügend</v>
      </c>
      <c r="S285" s="1534"/>
      <c r="T285" s="1534"/>
      <c r="U285" s="131" t="s">
        <v>408</v>
      </c>
      <c r="X285" s="234"/>
      <c r="Y285" s="234"/>
      <c r="Z285" s="234"/>
      <c r="AA285" s="232"/>
      <c r="AB285" s="474"/>
      <c r="AC285" s="474"/>
      <c r="AD285" s="474"/>
      <c r="AE285" s="232"/>
      <c r="AF285" s="131"/>
      <c r="AG285" s="232"/>
      <c r="AH285" s="232"/>
      <c r="AI285"/>
      <c r="AJ285"/>
      <c r="AK285"/>
      <c r="AL285"/>
      <c r="AM285"/>
    </row>
    <row r="286" spans="1:39" ht="2.15" hidden="1" customHeight="1">
      <c r="B286" s="232"/>
      <c r="C286" s="232"/>
      <c r="D286" s="233"/>
      <c r="E286" s="232"/>
      <c r="H286" s="474"/>
      <c r="I286" s="234"/>
      <c r="J286" s="234"/>
      <c r="K286" s="473"/>
      <c r="L286" s="473"/>
      <c r="Q286" s="232"/>
      <c r="R286" s="472"/>
      <c r="U286" s="131"/>
      <c r="V286" s="1235"/>
      <c r="W286" s="1235"/>
      <c r="X286" s="1235"/>
      <c r="Y286" s="1235"/>
      <c r="Z286" s="1235"/>
      <c r="AA286" s="1235"/>
      <c r="AB286" s="1235"/>
      <c r="AC286" s="1235"/>
      <c r="AD286" s="1235"/>
      <c r="AE286" s="232"/>
      <c r="AF286" s="232"/>
      <c r="AG286" s="232"/>
      <c r="AH286" s="232"/>
      <c r="AI286"/>
      <c r="AJ286"/>
      <c r="AK286"/>
      <c r="AL286"/>
      <c r="AM286"/>
    </row>
    <row r="287" spans="1:39" ht="10" hidden="1" customHeight="1">
      <c r="B287" s="1956" t="str">
        <f>Text!C$312</f>
        <v>Pre-Check SNBS 2023.1 Hochbau</v>
      </c>
      <c r="C287" s="1956"/>
      <c r="D287" s="1956"/>
      <c r="E287" s="1956"/>
      <c r="F287" s="1956"/>
      <c r="G287" s="1956"/>
      <c r="H287" s="1956"/>
      <c r="I287" s="1956"/>
      <c r="J287" s="1956"/>
      <c r="K287" s="1956"/>
      <c r="M287" s="1957"/>
      <c r="N287" s="1957"/>
      <c r="O287" s="1957"/>
      <c r="Q287" s="14"/>
      <c r="R287" s="1535" t="str">
        <f>Text!$C$556</f>
        <v>Stolperstein</v>
      </c>
      <c r="S287" s="1536"/>
      <c r="T287" s="1537"/>
      <c r="U287" s="131" t="s">
        <v>409</v>
      </c>
      <c r="V287" s="1235"/>
      <c r="W287" s="1235"/>
      <c r="X287" s="1235"/>
      <c r="Y287" s="1235"/>
      <c r="Z287" s="1235"/>
      <c r="AA287" s="1235"/>
      <c r="AB287" s="1235"/>
      <c r="AC287" s="1235"/>
      <c r="AD287" s="1235"/>
      <c r="AE287" s="1235"/>
      <c r="AF287" s="1235"/>
      <c r="AG287" s="1235"/>
      <c r="AI287"/>
      <c r="AJ287"/>
      <c r="AK287"/>
      <c r="AL287"/>
      <c r="AM287"/>
    </row>
    <row r="288" spans="1:39" ht="15" hidden="1" customHeight="1">
      <c r="B288" s="1956"/>
      <c r="C288" s="1956"/>
      <c r="D288" s="1956"/>
      <c r="E288" s="1956"/>
      <c r="F288" s="1956"/>
      <c r="G288" s="1956"/>
      <c r="H288" s="1956"/>
      <c r="I288" s="1956"/>
      <c r="J288" s="1956"/>
      <c r="K288" s="1956"/>
      <c r="M288" s="1957"/>
      <c r="N288" s="1957"/>
      <c r="O288" s="1957"/>
      <c r="Q288" s="14"/>
      <c r="R288" s="14"/>
      <c r="U288" s="1235"/>
      <c r="V288" s="1235"/>
      <c r="W288" s="1235"/>
      <c r="X288" s="1235"/>
      <c r="Y288" s="1235"/>
      <c r="Z288" s="1235"/>
      <c r="AA288" s="1235"/>
      <c r="AB288" s="1235"/>
      <c r="AC288" s="1235"/>
      <c r="AD288" s="1235"/>
      <c r="AE288" s="1235"/>
      <c r="AF288" s="1235"/>
      <c r="AG288" s="1235"/>
    </row>
    <row r="289" spans="1:39" ht="7" hidden="1" customHeight="1">
      <c r="B289" s="1956"/>
      <c r="C289" s="1956"/>
      <c r="D289" s="1956"/>
      <c r="E289" s="1956"/>
      <c r="F289" s="1956"/>
      <c r="G289" s="1956"/>
      <c r="H289" s="1956"/>
      <c r="I289" s="1956"/>
      <c r="J289" s="1956"/>
      <c r="K289" s="1956"/>
      <c r="M289" s="1957"/>
      <c r="N289" s="1957"/>
      <c r="O289" s="1957"/>
      <c r="Q289" s="14"/>
      <c r="R289" s="14"/>
      <c r="U289" s="1235"/>
      <c r="V289" s="1235"/>
      <c r="W289" s="1235"/>
      <c r="X289" s="1235"/>
      <c r="Y289" s="1235"/>
      <c r="Z289" s="1235"/>
      <c r="AA289" s="1235"/>
      <c r="AB289" s="1235"/>
      <c r="AC289" s="1235"/>
      <c r="AD289" s="1235"/>
      <c r="AE289" s="1235"/>
      <c r="AF289" s="1235"/>
      <c r="AG289" s="1235"/>
    </row>
    <row r="290" spans="1:39" ht="30" hidden="1" customHeight="1">
      <c r="B290" s="1749" t="str">
        <f>Text!AK$23</f>
        <v>Gesellschaft</v>
      </c>
      <c r="C290" s="1749"/>
      <c r="D290" s="1749"/>
      <c r="E290" s="1749"/>
      <c r="F290" s="1250"/>
      <c r="G290" s="2000" t="str">
        <f>Text!C$568</f>
        <v>Im Bereich ''Gesellschaft'' wird ein Erfüllungsgrad von 0% erzielt</v>
      </c>
      <c r="H290" s="2000"/>
      <c r="I290" s="2000"/>
      <c r="J290" s="2000"/>
      <c r="K290" s="2000"/>
      <c r="Q290" s="1854"/>
      <c r="R290" s="1854"/>
      <c r="S290" s="14"/>
      <c r="T290" s="14"/>
      <c r="U290" s="1980"/>
      <c r="V290" s="1980"/>
      <c r="W290" s="1980"/>
      <c r="X290" s="1980"/>
      <c r="Y290" s="1980"/>
      <c r="Z290" s="1980"/>
      <c r="AA290" s="1453"/>
      <c r="AB290" s="1981"/>
      <c r="AC290" s="1981"/>
      <c r="AD290" s="1981"/>
      <c r="AE290" s="1981"/>
      <c r="AF290" s="1981"/>
      <c r="AG290" s="1981"/>
      <c r="AI290"/>
      <c r="AJ290"/>
      <c r="AK290"/>
      <c r="AL290"/>
      <c r="AM290"/>
    </row>
    <row r="291" spans="1:39" ht="12" hidden="1" customHeight="1" thickBot="1">
      <c r="E291" s="1251"/>
      <c r="K291" s="235"/>
      <c r="L291" s="235"/>
      <c r="M291" s="235"/>
      <c r="N291" s="235"/>
      <c r="O291" s="235"/>
      <c r="P291" s="235"/>
      <c r="Q291" s="235"/>
      <c r="R291" s="235"/>
      <c r="S291" s="235"/>
      <c r="T291" s="235"/>
      <c r="U291" s="235"/>
      <c r="V291" s="235"/>
      <c r="W291" s="235"/>
      <c r="X291" s="235"/>
      <c r="Y291" s="235"/>
      <c r="Z291" s="235"/>
      <c r="AA291" s="235"/>
      <c r="AB291" s="235"/>
      <c r="AC291" s="235"/>
      <c r="AD291" s="235"/>
      <c r="AE291" s="235"/>
      <c r="AF291" s="235"/>
      <c r="AG291" s="235"/>
      <c r="AH291" s="235"/>
      <c r="AI291"/>
      <c r="AJ291"/>
      <c r="AK291"/>
      <c r="AL291"/>
      <c r="AM291"/>
    </row>
    <row r="292" spans="1:39" ht="2.15" hidden="1" customHeight="1" thickTop="1" thickBot="1">
      <c r="B292" s="1939">
        <f>Text!$AM$23</f>
        <v>11</v>
      </c>
      <c r="C292" s="1937" t="str">
        <f>Text!$BA$23</f>
        <v xml:space="preserve">             Qualität der Entwicklung</v>
      </c>
      <c r="D292" s="1937"/>
      <c r="E292" s="1937"/>
      <c r="K292" s="235"/>
      <c r="L292" s="235"/>
      <c r="M292" s="235"/>
      <c r="N292" s="235"/>
      <c r="O292" s="235"/>
      <c r="P292" s="235"/>
      <c r="Q292" s="235"/>
      <c r="R292" s="235"/>
      <c r="S292" s="235"/>
      <c r="T292" s="235"/>
      <c r="U292" s="235"/>
      <c r="V292" s="235"/>
      <c r="W292" s="235"/>
      <c r="X292" s="235"/>
      <c r="Y292" s="235"/>
      <c r="Z292" s="235"/>
      <c r="AA292" s="235"/>
      <c r="AB292" s="1994"/>
      <c r="AC292" s="1994"/>
      <c r="AD292" s="1994"/>
      <c r="AE292" s="1994"/>
      <c r="AF292" s="1994"/>
      <c r="AG292" s="1977"/>
      <c r="AH292" s="235"/>
      <c r="AI292"/>
      <c r="AJ292"/>
      <c r="AK292"/>
      <c r="AL292"/>
      <c r="AM292"/>
    </row>
    <row r="293" spans="1:39" s="44" customFormat="1" ht="10.4" hidden="1" customHeight="1" thickTop="1" thickBot="1">
      <c r="A293" s="1"/>
      <c r="B293" s="1863"/>
      <c r="C293" s="1937"/>
      <c r="D293" s="1937"/>
      <c r="E293" s="1937"/>
      <c r="F293" s="1"/>
      <c r="G293" s="1145">
        <f>Text!$AQ$23</f>
        <v>111</v>
      </c>
      <c r="H293" s="1941" t="str">
        <f>Text!$AR$23</f>
        <v>Ziele &amp; Pflichtenhefte</v>
      </c>
      <c r="I293" s="1942"/>
      <c r="J293" s="1942"/>
      <c r="K293" s="1943"/>
      <c r="M293" s="1146" t="s">
        <v>1444</v>
      </c>
      <c r="P293" s="1161" t="s">
        <v>1444</v>
      </c>
      <c r="S293" s="59"/>
      <c r="T293" s="1456"/>
      <c r="U293" s="1978"/>
      <c r="V293" s="1978"/>
      <c r="W293" s="1978"/>
      <c r="X293" s="1978"/>
      <c r="Y293" s="1978"/>
      <c r="Z293" s="626"/>
      <c r="AA293" s="235"/>
      <c r="AB293" s="1994"/>
      <c r="AC293" s="1994"/>
      <c r="AD293" s="1994"/>
      <c r="AE293" s="1994"/>
      <c r="AF293" s="1994"/>
      <c r="AG293" s="1977"/>
      <c r="AH293" s="236"/>
      <c r="AI293" s="237"/>
      <c r="AJ293" s="238"/>
      <c r="AK293" s="238"/>
      <c r="AL293" s="238"/>
      <c r="AM293" s="238"/>
    </row>
    <row r="294" spans="1:39" s="240" customFormat="1" ht="10.4" hidden="1" customHeight="1" thickTop="1" thickBot="1">
      <c r="A294" s="1"/>
      <c r="B294" s="1863"/>
      <c r="C294" s="1937"/>
      <c r="D294" s="1937"/>
      <c r="E294" s="1937"/>
      <c r="F294" s="1"/>
      <c r="G294" s="1145">
        <f>Text!$AQ$24</f>
        <v>112</v>
      </c>
      <c r="H294" s="1995" t="str">
        <f>Text!$AR$24</f>
        <v>Städtebau &amp; Architektur</v>
      </c>
      <c r="I294" s="1996"/>
      <c r="J294" s="1996"/>
      <c r="K294" s="1997"/>
      <c r="M294" s="2"/>
      <c r="N294" s="2"/>
      <c r="O294" s="2"/>
      <c r="P294" s="2"/>
      <c r="Q294" s="2"/>
      <c r="R294" s="2"/>
      <c r="S294" s="59"/>
      <c r="T294" s="1456"/>
      <c r="U294" s="1978"/>
      <c r="V294" s="1978"/>
      <c r="W294" s="1978"/>
      <c r="X294" s="1978"/>
      <c r="Y294" s="1978"/>
      <c r="Z294" s="626"/>
      <c r="AA294" s="235"/>
      <c r="AB294" s="1994"/>
      <c r="AC294" s="1994"/>
      <c r="AD294" s="1994"/>
      <c r="AE294" s="1994"/>
      <c r="AF294" s="1994"/>
      <c r="AG294" s="1977"/>
      <c r="AH294" s="235"/>
      <c r="AI294" s="239"/>
    </row>
    <row r="295" spans="1:39" s="240" customFormat="1" ht="10.4" hidden="1" customHeight="1" thickTop="1" thickBot="1">
      <c r="A295" s="1"/>
      <c r="B295" s="1863"/>
      <c r="C295" s="1937"/>
      <c r="D295" s="1937"/>
      <c r="E295" s="1937"/>
      <c r="F295" s="1"/>
      <c r="G295" s="1145">
        <f>Text!$AQ$25</f>
        <v>113</v>
      </c>
      <c r="H295" s="1995" t="str">
        <f>Text!$AR$25</f>
        <v>Partizipation</v>
      </c>
      <c r="I295" s="1996"/>
      <c r="J295" s="1996"/>
      <c r="K295" s="1997"/>
      <c r="M295" s="18"/>
      <c r="N295" s="2"/>
      <c r="O295" s="2"/>
      <c r="P295" s="2"/>
      <c r="Q295" s="2"/>
      <c r="R295" s="2"/>
      <c r="S295" s="59"/>
      <c r="T295" s="1456"/>
      <c r="U295" s="1978"/>
      <c r="V295" s="1978"/>
      <c r="W295" s="1978"/>
      <c r="X295" s="1978"/>
      <c r="Y295" s="1978"/>
      <c r="Z295" s="626"/>
      <c r="AA295" s="235"/>
      <c r="AB295" s="1994"/>
      <c r="AC295" s="1994"/>
      <c r="AD295" s="1994"/>
      <c r="AE295" s="1994"/>
      <c r="AF295" s="1994"/>
      <c r="AG295" s="1977"/>
      <c r="AH295" s="235"/>
      <c r="AI295" s="242"/>
    </row>
    <row r="296" spans="1:39" s="240" customFormat="1" ht="2.15" hidden="1" customHeight="1" thickBot="1">
      <c r="A296" s="1"/>
      <c r="B296" s="1863">
        <f>Text!$AM$26</f>
        <v>12</v>
      </c>
      <c r="C296" s="1937" t="str">
        <f>Text!$BA$24</f>
        <v xml:space="preserve">             Angebot &amp; Erreichbarkeit</v>
      </c>
      <c r="D296" s="1937"/>
      <c r="E296" s="1937"/>
      <c r="F296" s="1"/>
      <c r="G296" s="1"/>
      <c r="H296" s="1"/>
      <c r="I296" s="1"/>
      <c r="J296" s="1"/>
      <c r="O296" s="2"/>
      <c r="P296" s="2"/>
      <c r="Q296" s="2"/>
      <c r="R296" s="2"/>
      <c r="S296" s="59"/>
      <c r="T296" s="1456"/>
      <c r="U296" s="235"/>
      <c r="V296" s="17"/>
      <c r="W296" s="235"/>
      <c r="X296" s="235"/>
      <c r="Y296" s="235"/>
      <c r="Z296" s="235"/>
      <c r="AA296" s="235"/>
      <c r="AB296" s="1994"/>
      <c r="AC296" s="1994"/>
      <c r="AD296" s="1994"/>
      <c r="AE296" s="1994"/>
      <c r="AF296" s="1994"/>
      <c r="AG296" s="1977"/>
      <c r="AH296" s="235"/>
      <c r="AI296" s="241"/>
    </row>
    <row r="297" spans="1:39" s="240" customFormat="1" ht="10.4" hidden="1" customHeight="1" thickTop="1" thickBot="1">
      <c r="A297" s="1"/>
      <c r="B297" s="1863"/>
      <c r="C297" s="1937"/>
      <c r="D297" s="1937"/>
      <c r="E297" s="1937"/>
      <c r="F297" s="1"/>
      <c r="G297" s="1145">
        <f>Text!$AQ$26</f>
        <v>121</v>
      </c>
      <c r="H297" s="1995" t="str">
        <f>Text!$AR$26</f>
        <v>Erreichbarkeit &amp; Nutzungsangebot im Quartierumfeld</v>
      </c>
      <c r="I297" s="1996"/>
      <c r="J297" s="1996"/>
      <c r="K297" s="1997"/>
      <c r="M297" s="1151"/>
      <c r="N297" s="2"/>
      <c r="P297" s="145"/>
      <c r="Q297" s="755"/>
      <c r="R297" s="755"/>
      <c r="S297" s="755"/>
      <c r="T297" s="1228"/>
      <c r="U297" s="1978"/>
      <c r="V297" s="1978"/>
      <c r="W297" s="1978"/>
      <c r="X297" s="1978"/>
      <c r="Y297" s="1978"/>
      <c r="Z297" s="626"/>
      <c r="AA297" s="235"/>
      <c r="AB297" s="1994"/>
      <c r="AC297" s="1994"/>
      <c r="AD297" s="1994"/>
      <c r="AE297" s="1994"/>
      <c r="AF297" s="1994"/>
      <c r="AG297" s="1977"/>
      <c r="AH297" s="235"/>
      <c r="AI297" s="239"/>
    </row>
    <row r="298" spans="1:39" s="240" customFormat="1" ht="10.4" hidden="1" customHeight="1" thickTop="1" thickBot="1">
      <c r="A298" s="1"/>
      <c r="B298" s="1863"/>
      <c r="C298" s="1937"/>
      <c r="D298" s="1937"/>
      <c r="E298" s="1937"/>
      <c r="F298" s="1"/>
      <c r="G298" s="1145">
        <f>Text!$AQ$27</f>
        <v>122</v>
      </c>
      <c r="H298" s="1995" t="str">
        <f>Text!$AR$27</f>
        <v>Hindernisfreies Bauen</v>
      </c>
      <c r="I298" s="1996"/>
      <c r="J298" s="1996"/>
      <c r="K298" s="1997"/>
      <c r="M298" s="1227"/>
      <c r="N298" s="755"/>
      <c r="O298" s="1228"/>
      <c r="P298" s="145"/>
      <c r="Q298" s="755"/>
      <c r="R298" s="755"/>
      <c r="S298" s="755"/>
      <c r="T298" s="1228"/>
      <c r="U298" s="1978"/>
      <c r="V298" s="1978"/>
      <c r="W298" s="1978"/>
      <c r="X298" s="1978"/>
      <c r="Y298" s="1978"/>
      <c r="Z298" s="626"/>
      <c r="AA298" s="235"/>
      <c r="AB298" s="1994"/>
      <c r="AC298" s="1994"/>
      <c r="AD298" s="1994"/>
      <c r="AE298" s="1994"/>
      <c r="AF298" s="1994"/>
      <c r="AG298" s="1977"/>
      <c r="AH298" s="235"/>
      <c r="AI298" s="241"/>
    </row>
    <row r="299" spans="1:39" s="240" customFormat="1" ht="10.4" hidden="1" customHeight="1" thickBot="1">
      <c r="A299" s="1"/>
      <c r="B299" s="1863"/>
      <c r="C299" s="1937"/>
      <c r="D299" s="1937"/>
      <c r="E299" s="1937"/>
      <c r="F299" s="1"/>
      <c r="G299" s="1"/>
      <c r="H299" s="1"/>
      <c r="I299" s="1"/>
      <c r="J299" s="1"/>
      <c r="N299" s="2"/>
      <c r="O299" s="2"/>
      <c r="P299" s="2"/>
      <c r="Q299" s="755"/>
      <c r="R299" s="755"/>
      <c r="S299" s="755"/>
      <c r="T299" s="1228"/>
      <c r="U299" s="18"/>
      <c r="V299" s="18"/>
      <c r="W299" s="18"/>
      <c r="X299" s="235"/>
      <c r="Y299" s="235"/>
      <c r="Z299" s="235"/>
      <c r="AA299" s="235"/>
      <c r="AB299" s="1994"/>
      <c r="AC299" s="1994"/>
      <c r="AD299" s="1994"/>
      <c r="AE299" s="1994"/>
      <c r="AF299" s="1994"/>
      <c r="AG299" s="1977"/>
      <c r="AH299" s="235"/>
      <c r="AI299" s="239"/>
    </row>
    <row r="300" spans="1:39" s="240" customFormat="1" ht="2.15" hidden="1" customHeight="1" thickBot="1">
      <c r="A300" s="1"/>
      <c r="B300" s="1863">
        <f>Text!$AM$28</f>
        <v>13</v>
      </c>
      <c r="C300" s="1937" t="str">
        <f>Text!$BA$25</f>
        <v xml:space="preserve">              Gebrauchsqualität</v>
      </c>
      <c r="D300" s="1937"/>
      <c r="E300" s="1937"/>
      <c r="F300" s="1"/>
      <c r="G300" s="1"/>
      <c r="H300" s="1"/>
      <c r="I300" s="1"/>
      <c r="J300" s="1"/>
      <c r="N300" s="2"/>
      <c r="O300" s="2"/>
      <c r="P300" s="2"/>
      <c r="Q300" s="755"/>
      <c r="R300" s="755"/>
      <c r="S300" s="755"/>
      <c r="T300" s="1228"/>
      <c r="U300" s="18"/>
      <c r="V300" s="18"/>
      <c r="W300" s="18"/>
      <c r="X300" s="235"/>
      <c r="Y300" s="235"/>
      <c r="Z300" s="235"/>
      <c r="AA300" s="235"/>
      <c r="AB300" s="1994"/>
      <c r="AC300" s="1994"/>
      <c r="AD300" s="1994"/>
      <c r="AE300" s="1994"/>
      <c r="AF300" s="1994"/>
      <c r="AG300" s="1977"/>
      <c r="AH300" s="235"/>
      <c r="AI300" s="242"/>
    </row>
    <row r="301" spans="1:39" s="240" customFormat="1" ht="10.4" hidden="1" customHeight="1" thickTop="1" thickBot="1">
      <c r="A301" s="1"/>
      <c r="B301" s="1863"/>
      <c r="C301" s="1937"/>
      <c r="D301" s="1937"/>
      <c r="E301" s="1937"/>
      <c r="F301" s="1"/>
      <c r="G301" s="1145">
        <f>Text!$AQ$28</f>
        <v>131</v>
      </c>
      <c r="H301" s="1995" t="str">
        <f>Text!$AR$28</f>
        <v>Räume sozialer Interaktion</v>
      </c>
      <c r="I301" s="1996"/>
      <c r="J301" s="1996"/>
      <c r="K301" s="1997"/>
      <c r="M301" s="1152"/>
      <c r="P301" s="145"/>
      <c r="Q301" s="755"/>
      <c r="R301" s="755"/>
      <c r="S301" s="755"/>
      <c r="T301" s="1228"/>
      <c r="U301" s="1978"/>
      <c r="V301" s="1978"/>
      <c r="W301" s="1978"/>
      <c r="X301" s="1978"/>
      <c r="Y301" s="1978"/>
      <c r="Z301" s="626"/>
      <c r="AA301" s="235"/>
      <c r="AB301" s="1994"/>
      <c r="AC301" s="1994"/>
      <c r="AD301" s="1994"/>
      <c r="AE301" s="1994"/>
      <c r="AF301" s="1994"/>
      <c r="AG301" s="1977"/>
      <c r="AH301" s="235"/>
    </row>
    <row r="302" spans="1:39" s="240" customFormat="1" ht="10.4" hidden="1" customHeight="1" thickTop="1" thickBot="1">
      <c r="A302" s="1"/>
      <c r="B302" s="1863"/>
      <c r="C302" s="1937"/>
      <c r="D302" s="1937"/>
      <c r="E302" s="1937"/>
      <c r="F302" s="1"/>
      <c r="G302" s="1145">
        <f>Text!$AQ$29</f>
        <v>132</v>
      </c>
      <c r="H302" s="1998" t="str">
        <f>Text!$AR$29</f>
        <v>Sicherheit</v>
      </c>
      <c r="I302" s="1999"/>
      <c r="J302" s="1999"/>
      <c r="K302" s="1999"/>
      <c r="M302" s="1227"/>
      <c r="N302" s="755"/>
      <c r="O302" s="1228"/>
      <c r="P302" s="145"/>
      <c r="Q302" s="755"/>
      <c r="R302" s="755"/>
      <c r="S302" s="755"/>
      <c r="T302" s="1228"/>
      <c r="U302" s="18"/>
      <c r="V302" s="18"/>
      <c r="W302" s="235"/>
      <c r="X302" s="235"/>
      <c r="Y302" s="235"/>
      <c r="Z302" s="235"/>
      <c r="AA302" s="235"/>
      <c r="AB302" s="1994"/>
      <c r="AC302" s="1994"/>
      <c r="AD302" s="1994"/>
      <c r="AE302" s="1994"/>
      <c r="AF302" s="1994"/>
      <c r="AG302" s="1977"/>
      <c r="AH302" s="235"/>
    </row>
    <row r="303" spans="1:39" s="44" customFormat="1" ht="10.4" hidden="1" customHeight="1" thickBot="1">
      <c r="A303" s="1"/>
      <c r="B303" s="1863"/>
      <c r="C303" s="1937"/>
      <c r="D303" s="1937"/>
      <c r="E303" s="1937"/>
      <c r="F303" s="1"/>
      <c r="G303" s="1"/>
      <c r="H303" s="1"/>
      <c r="I303" s="1"/>
      <c r="J303" s="1"/>
      <c r="K303" s="240"/>
      <c r="L303" s="121"/>
      <c r="M303" s="2"/>
      <c r="N303" s="2"/>
      <c r="O303" s="2"/>
      <c r="P303" s="2"/>
      <c r="Q303" s="755"/>
      <c r="R303" s="755"/>
      <c r="S303" s="755"/>
      <c r="T303" s="1228"/>
      <c r="U303" s="18"/>
      <c r="V303" s="18"/>
      <c r="W303" s="235"/>
      <c r="X303" s="235"/>
      <c r="Y303" s="235"/>
      <c r="Z303" s="235"/>
      <c r="AA303" s="235"/>
      <c r="AB303" s="1994"/>
      <c r="AC303" s="1994"/>
      <c r="AD303" s="1994"/>
      <c r="AE303" s="1994"/>
      <c r="AF303" s="1994"/>
      <c r="AG303" s="1977"/>
      <c r="AH303" s="235"/>
      <c r="AI303" s="243"/>
    </row>
    <row r="304" spans="1:39" s="44" customFormat="1" ht="2.15" hidden="1" customHeight="1" thickBot="1">
      <c r="A304" s="1"/>
      <c r="B304" s="1863">
        <f>Text!$AM$30</f>
        <v>14</v>
      </c>
      <c r="C304" s="1865" t="str">
        <f>Text!$BA$26</f>
        <v xml:space="preserve">           Wohlbefinden &amp; Gesundheit</v>
      </c>
      <c r="D304" s="1866"/>
      <c r="E304" s="1867"/>
      <c r="F304" s="1"/>
      <c r="G304" s="1"/>
      <c r="H304" s="1"/>
      <c r="I304" s="1"/>
      <c r="J304" s="1"/>
      <c r="K304" s="1"/>
      <c r="L304" s="122"/>
      <c r="M304" s="145"/>
      <c r="N304" s="755"/>
      <c r="O304" s="2"/>
      <c r="P304" s="2"/>
      <c r="Q304" s="755"/>
      <c r="R304" s="755"/>
      <c r="S304" s="755"/>
      <c r="T304" s="1228"/>
      <c r="U304" s="18"/>
      <c r="V304" s="18"/>
      <c r="W304" s="235"/>
      <c r="X304" s="235"/>
      <c r="Y304" s="235"/>
      <c r="Z304" s="235"/>
      <c r="AA304" s="235"/>
      <c r="AB304" s="1994"/>
      <c r="AC304" s="1994"/>
      <c r="AD304" s="1994"/>
      <c r="AE304" s="1994"/>
      <c r="AF304" s="1994"/>
      <c r="AG304" s="1977"/>
      <c r="AH304" s="235"/>
      <c r="AI304" s="243"/>
    </row>
    <row r="305" spans="1:39" s="44" customFormat="1" ht="10.4" hidden="1" customHeight="1" thickTop="1" thickBot="1">
      <c r="A305" s="1"/>
      <c r="B305" s="1863"/>
      <c r="C305" s="1868"/>
      <c r="D305" s="1869"/>
      <c r="E305" s="1870"/>
      <c r="F305" s="1"/>
      <c r="G305" s="1153" t="str">
        <f>Text!$AQ$30</f>
        <v>141</v>
      </c>
      <c r="H305" s="1995" t="str">
        <f>Text!$AR$30</f>
        <v>Raumluftqualität</v>
      </c>
      <c r="I305" s="1996"/>
      <c r="J305" s="1996"/>
      <c r="K305" s="1997"/>
      <c r="M305" s="1150"/>
      <c r="P305" s="1147"/>
      <c r="S305" s="1152"/>
      <c r="T305" s="18"/>
      <c r="W305" s="14"/>
      <c r="AB305" s="1994"/>
      <c r="AC305" s="1994"/>
      <c r="AD305" s="1994"/>
      <c r="AE305" s="1994"/>
      <c r="AF305" s="1994"/>
      <c r="AG305" s="1977"/>
    </row>
    <row r="306" spans="1:39" s="44" customFormat="1" ht="10.4" hidden="1" customHeight="1" thickTop="1" thickBot="1">
      <c r="A306" s="1"/>
      <c r="B306" s="1863"/>
      <c r="C306" s="1868"/>
      <c r="D306" s="1869"/>
      <c r="E306" s="1870"/>
      <c r="F306" s="1"/>
      <c r="G306" s="1145">
        <f>Text!$AQ$31</f>
        <v>142</v>
      </c>
      <c r="H306" s="1995" t="str">
        <f>Text!$AR$31</f>
        <v>Schadstoffe &amp; Strahlung</v>
      </c>
      <c r="I306" s="1996"/>
      <c r="J306" s="1996"/>
      <c r="K306" s="1997"/>
      <c r="M306" s="1152"/>
      <c r="P306" s="1155"/>
      <c r="S306" s="755"/>
      <c r="T306" s="1228"/>
      <c r="U306" s="18"/>
      <c r="V306" s="18"/>
      <c r="W306" s="235"/>
      <c r="X306" s="235"/>
      <c r="Y306" s="235"/>
      <c r="Z306" s="235"/>
      <c r="AA306" s="235"/>
      <c r="AB306" s="1994"/>
      <c r="AC306" s="1994"/>
      <c r="AD306" s="1994"/>
      <c r="AE306" s="1994"/>
      <c r="AF306" s="1994"/>
      <c r="AG306" s="1977"/>
      <c r="AH306" s="235"/>
      <c r="AI306" s="243"/>
    </row>
    <row r="307" spans="1:39" s="44" customFormat="1" ht="10.4" hidden="1" customHeight="1" thickTop="1" thickBot="1">
      <c r="A307" s="1"/>
      <c r="B307" s="1863"/>
      <c r="C307" s="1868"/>
      <c r="D307" s="1869"/>
      <c r="E307" s="1870"/>
      <c r="F307" s="1"/>
      <c r="G307" s="1154">
        <f>Text!$AQ$32</f>
        <v>143</v>
      </c>
      <c r="H307" s="1995" t="str">
        <f>Text!$AR$32</f>
        <v>Mikroklima</v>
      </c>
      <c r="I307" s="1996"/>
      <c r="J307" s="1996"/>
      <c r="K307" s="1997"/>
      <c r="AB307" s="1994"/>
      <c r="AC307" s="1994"/>
      <c r="AD307" s="1994"/>
      <c r="AE307" s="1994"/>
      <c r="AF307" s="1994"/>
      <c r="AG307" s="1977"/>
    </row>
    <row r="308" spans="1:39" ht="10.4" hidden="1" customHeight="1" thickTop="1" thickBot="1">
      <c r="B308" s="1863"/>
      <c r="C308" s="1868"/>
      <c r="D308" s="1869"/>
      <c r="E308" s="1870"/>
      <c r="G308" s="1154">
        <f>Text!$AQ$33</f>
        <v>144</v>
      </c>
      <c r="H308" s="1995" t="str">
        <f>Text!$AR$33</f>
        <v>Sommerlicher Wärmeschutz</v>
      </c>
      <c r="I308" s="1996"/>
      <c r="J308" s="1996"/>
      <c r="K308" s="1997"/>
      <c r="M308" s="235"/>
      <c r="N308" s="235"/>
      <c r="O308" s="235"/>
      <c r="P308" s="235"/>
      <c r="Q308" s="235"/>
      <c r="R308" s="235"/>
      <c r="S308" s="235"/>
      <c r="T308" s="235"/>
      <c r="U308" s="1978"/>
      <c r="V308" s="1978"/>
      <c r="W308" s="1978"/>
      <c r="X308" s="1978"/>
      <c r="Y308" s="1978"/>
      <c r="Z308" s="626"/>
      <c r="AA308" s="235"/>
      <c r="AB308" s="1994"/>
      <c r="AC308" s="1994"/>
      <c r="AD308" s="1994"/>
      <c r="AE308" s="1994"/>
      <c r="AF308" s="1994"/>
      <c r="AG308" s="1977"/>
      <c r="AH308" s="235"/>
      <c r="AI308"/>
      <c r="AJ308"/>
      <c r="AK308"/>
      <c r="AL308"/>
      <c r="AM308"/>
    </row>
    <row r="309" spans="1:39" s="44" customFormat="1" ht="10.4" hidden="1" customHeight="1" thickTop="1" thickBot="1">
      <c r="A309" s="1"/>
      <c r="B309" s="1863"/>
      <c r="C309" s="1868"/>
      <c r="D309" s="1869"/>
      <c r="E309" s="1870"/>
      <c r="F309" s="1"/>
      <c r="G309" s="1154">
        <f>Text!$AQ$34</f>
        <v>145</v>
      </c>
      <c r="H309" s="1995" t="str">
        <f>Text!$AR$34</f>
        <v>Winterlicher Wärmeschutz</v>
      </c>
      <c r="I309" s="1996"/>
      <c r="J309" s="1996"/>
      <c r="K309" s="1997"/>
      <c r="M309" s="1146"/>
      <c r="P309" s="1161"/>
      <c r="S309" s="59"/>
      <c r="T309" s="1456"/>
      <c r="U309" s="17"/>
      <c r="V309" s="17"/>
      <c r="W309" s="235"/>
      <c r="X309" s="235"/>
      <c r="Y309" s="235"/>
      <c r="Z309" s="235"/>
      <c r="AA309" s="235"/>
      <c r="AB309" s="1994"/>
      <c r="AC309" s="1994"/>
      <c r="AD309" s="1994"/>
      <c r="AE309" s="1994"/>
      <c r="AF309" s="1994"/>
      <c r="AG309" s="1977"/>
      <c r="AH309" s="236"/>
      <c r="AI309" s="237"/>
      <c r="AJ309" s="238"/>
      <c r="AK309" s="238"/>
      <c r="AL309" s="238"/>
      <c r="AM309" s="238"/>
    </row>
    <row r="310" spans="1:39" s="240" customFormat="1" ht="10.4" hidden="1" customHeight="1" thickTop="1" thickBot="1">
      <c r="A310" s="1"/>
      <c r="B310" s="1863"/>
      <c r="C310" s="1868"/>
      <c r="D310" s="1869"/>
      <c r="E310" s="1870"/>
      <c r="F310" s="1"/>
      <c r="G310" s="1145">
        <f>Text!$AQ$35</f>
        <v>146</v>
      </c>
      <c r="H310" s="1998" t="str">
        <f>Text!$AR$35</f>
        <v>Tageslicht</v>
      </c>
      <c r="I310" s="1999"/>
      <c r="J310" s="1999"/>
      <c r="K310" s="1999"/>
      <c r="M310" s="2"/>
      <c r="N310" s="2"/>
      <c r="O310" s="2"/>
      <c r="P310" s="2"/>
      <c r="Q310" s="2"/>
      <c r="S310" s="59"/>
      <c r="T310" s="1456"/>
      <c r="U310" s="1978"/>
      <c r="V310" s="1978"/>
      <c r="W310" s="1978"/>
      <c r="X310" s="1978"/>
      <c r="Y310" s="1978"/>
      <c r="Z310" s="626"/>
      <c r="AA310" s="235"/>
      <c r="AB310" s="1994"/>
      <c r="AC310" s="1994"/>
      <c r="AD310" s="1994"/>
      <c r="AE310" s="1994"/>
      <c r="AF310" s="1994"/>
      <c r="AG310" s="1977"/>
      <c r="AH310" s="235"/>
      <c r="AI310" s="239"/>
    </row>
    <row r="311" spans="1:39" s="240" customFormat="1" ht="10.4" hidden="1" customHeight="1" thickTop="1" thickBot="1">
      <c r="A311" s="1"/>
      <c r="B311" s="1864"/>
      <c r="C311" s="1871"/>
      <c r="D311" s="1872"/>
      <c r="E311" s="1873"/>
      <c r="F311" s="1"/>
      <c r="G311" s="1145">
        <f>Text!$AQ$36</f>
        <v>147</v>
      </c>
      <c r="H311" s="1995" t="str">
        <f>Text!$AR$36</f>
        <v>Schallschutz</v>
      </c>
      <c r="I311" s="1996"/>
      <c r="J311" s="1996"/>
      <c r="K311" s="1996"/>
      <c r="N311" s="2"/>
      <c r="O311" s="2"/>
      <c r="P311" s="2"/>
      <c r="Q311" s="2"/>
      <c r="R311" s="2"/>
      <c r="S311" s="59"/>
      <c r="T311" s="1456"/>
      <c r="U311" s="17"/>
      <c r="V311" s="17"/>
      <c r="W311" s="235"/>
      <c r="X311" s="235"/>
      <c r="Y311" s="235"/>
      <c r="Z311" s="235"/>
      <c r="AA311" s="235"/>
      <c r="AB311" s="1994"/>
      <c r="AC311" s="1994"/>
      <c r="AD311" s="1994"/>
      <c r="AE311" s="1994"/>
      <c r="AF311" s="1994"/>
      <c r="AG311" s="1977"/>
      <c r="AH311" s="235"/>
      <c r="AI311" s="241"/>
    </row>
    <row r="312" spans="1:39" s="240" customFormat="1" ht="2.15" hidden="1" customHeight="1" thickTop="1">
      <c r="A312" s="1"/>
      <c r="B312" s="1"/>
      <c r="C312" s="1"/>
      <c r="D312" s="1"/>
      <c r="E312" s="1"/>
      <c r="F312" s="1"/>
      <c r="G312" s="1"/>
      <c r="H312" s="1"/>
      <c r="I312" s="1"/>
      <c r="J312" s="1"/>
      <c r="N312" s="2"/>
      <c r="O312" s="2"/>
      <c r="P312" s="2"/>
      <c r="Q312" s="2"/>
      <c r="R312" s="2"/>
      <c r="S312" s="59"/>
      <c r="T312" s="1456"/>
      <c r="U312" s="17"/>
      <c r="V312" s="17"/>
      <c r="W312" s="235"/>
      <c r="X312" s="235"/>
      <c r="Y312" s="235"/>
      <c r="Z312" s="235"/>
      <c r="AA312" s="235"/>
      <c r="AB312" s="235"/>
      <c r="AC312" s="235"/>
      <c r="AD312" s="235"/>
      <c r="AE312" s="235"/>
      <c r="AF312" s="235"/>
      <c r="AG312" s="235"/>
      <c r="AH312" s="235"/>
      <c r="AI312" s="241"/>
    </row>
    <row r="313" spans="1:39" s="240" customFormat="1" ht="10.4" hidden="1" customHeight="1">
      <c r="A313" s="1"/>
      <c r="B313" s="1"/>
      <c r="C313" s="1"/>
      <c r="D313" s="1"/>
      <c r="E313" s="1"/>
      <c r="F313" s="1"/>
      <c r="G313" s="1"/>
      <c r="H313" s="1"/>
      <c r="I313" s="1"/>
      <c r="J313" s="1"/>
      <c r="K313" s="1"/>
      <c r="L313" s="1"/>
      <c r="M313" s="1"/>
      <c r="N313" s="1"/>
      <c r="O313" s="1"/>
      <c r="P313" s="1"/>
      <c r="Q313" s="1"/>
      <c r="R313" s="1"/>
      <c r="S313" s="1"/>
      <c r="T313" s="1"/>
      <c r="U313" s="1"/>
      <c r="V313" s="1"/>
      <c r="W313" s="1"/>
      <c r="X313" s="235"/>
      <c r="Y313" s="235"/>
      <c r="Z313" s="235"/>
      <c r="AA313" s="235"/>
      <c r="AB313" s="235"/>
      <c r="AC313" s="235"/>
      <c r="AD313" s="235"/>
      <c r="AE313" s="235"/>
      <c r="AF313" s="235"/>
      <c r="AG313" s="235"/>
      <c r="AH313" s="235"/>
      <c r="AI313" s="239"/>
    </row>
    <row r="314" spans="1:39" s="240" customFormat="1" ht="30" hidden="1" customHeight="1">
      <c r="A314" s="1"/>
      <c r="B314" s="1853" t="str">
        <f>Text!$AK$38</f>
        <v>Wirtschaft</v>
      </c>
      <c r="C314" s="1853"/>
      <c r="D314" s="1853"/>
      <c r="E314" s="1853"/>
      <c r="F314" s="1252"/>
      <c r="G314" s="1989" t="str">
        <f>Text!C$569</f>
        <v>Im Bereich ''Wirtschaft'' wird ein Erfüllungsgrad von 0% erzielt</v>
      </c>
      <c r="H314" s="1989"/>
      <c r="I314" s="1989"/>
      <c r="J314" s="1989"/>
      <c r="K314" s="1989"/>
      <c r="L314" s="1304"/>
      <c r="M314" s="1"/>
      <c r="N314" s="1"/>
      <c r="O314" s="1"/>
      <c r="P314" s="1"/>
      <c r="Q314" s="1854"/>
      <c r="R314" s="1854"/>
      <c r="S314" s="14"/>
      <c r="T314" s="14"/>
      <c r="U314" s="1980"/>
      <c r="V314" s="1980"/>
      <c r="W314" s="1980"/>
      <c r="X314" s="1980"/>
      <c r="Y314" s="1980"/>
      <c r="Z314" s="1980"/>
      <c r="AA314" s="1453"/>
      <c r="AB314" s="1981"/>
      <c r="AC314" s="1981"/>
      <c r="AD314" s="1981"/>
      <c r="AE314" s="1981"/>
      <c r="AF314" s="1981"/>
      <c r="AG314" s="1981"/>
      <c r="AH314" s="235"/>
      <c r="AI314" s="241"/>
    </row>
    <row r="315" spans="1:39" s="240" customFormat="1" ht="10.4" hidden="1" customHeight="1" thickBot="1">
      <c r="A315" s="1"/>
      <c r="B315" s="1"/>
      <c r="C315" s="1"/>
      <c r="D315" s="1"/>
      <c r="E315" s="1"/>
      <c r="F315" s="1"/>
      <c r="G315" s="1"/>
      <c r="H315" s="1"/>
      <c r="I315" s="1"/>
      <c r="J315" s="1"/>
      <c r="K315" s="1"/>
      <c r="L315"/>
      <c r="M315" s="1"/>
      <c r="N315" s="1"/>
      <c r="O315" s="1"/>
      <c r="P315" s="1"/>
      <c r="Q315" s="1"/>
      <c r="R315" s="1"/>
      <c r="S315" s="1"/>
      <c r="T315" s="1"/>
      <c r="U315" s="1"/>
      <c r="V315" s="1"/>
      <c r="W315" s="1"/>
      <c r="X315" s="235"/>
      <c r="Y315" s="235"/>
      <c r="Z315" s="235"/>
      <c r="AA315" s="235"/>
      <c r="AB315" s="235"/>
      <c r="AC315" s="235"/>
      <c r="AD315" s="235"/>
      <c r="AE315" s="235"/>
      <c r="AF315" s="235"/>
      <c r="AG315" s="235"/>
      <c r="AH315" s="235"/>
    </row>
    <row r="316" spans="1:39" s="240" customFormat="1" ht="2.15" hidden="1" customHeight="1" thickTop="1" thickBot="1">
      <c r="A316" s="1"/>
      <c r="B316" s="1855">
        <f>Text!$AM$38</f>
        <v>21</v>
      </c>
      <c r="C316" s="1856" t="str">
        <f>Text!$BA$28</f>
        <v xml:space="preserve">               Lebenszyklus</v>
      </c>
      <c r="D316" s="1857"/>
      <c r="E316" s="1858"/>
      <c r="F316" s="1"/>
      <c r="G316" s="1"/>
      <c r="H316" s="1"/>
      <c r="I316" s="1"/>
      <c r="J316" s="1"/>
      <c r="L316" s="1305"/>
      <c r="N316" s="2"/>
      <c r="O316" s="2"/>
      <c r="P316" s="2"/>
      <c r="Q316" s="2"/>
      <c r="R316" s="2"/>
      <c r="S316" s="59"/>
      <c r="T316" s="1456"/>
      <c r="U316" s="235"/>
      <c r="V316" s="17"/>
      <c r="W316" s="235"/>
      <c r="X316" s="235"/>
      <c r="Y316" s="235"/>
      <c r="Z316" s="235"/>
      <c r="AA316" s="235"/>
      <c r="AB316" s="1984"/>
      <c r="AC316" s="1984"/>
      <c r="AD316" s="1984"/>
      <c r="AE316" s="1984"/>
      <c r="AF316" s="1984"/>
      <c r="AG316" s="1977"/>
      <c r="AH316" s="235"/>
    </row>
    <row r="317" spans="1:39" s="44" customFormat="1" ht="10.4" hidden="1" customHeight="1" thickTop="1" thickBot="1">
      <c r="A317" s="1"/>
      <c r="B317" s="1847"/>
      <c r="C317" s="1856"/>
      <c r="D317" s="1857"/>
      <c r="E317" s="1858"/>
      <c r="F317" s="1"/>
      <c r="G317" s="1145">
        <f>Text!$AQ$38</f>
        <v>211</v>
      </c>
      <c r="H317" s="1908" t="str">
        <f>Text!$AR$38</f>
        <v>Lebenszykluskosten</v>
      </c>
      <c r="I317" s="1909"/>
      <c r="J317" s="1909"/>
      <c r="K317" s="1910"/>
      <c r="L317" s="1306"/>
      <c r="M317" s="1151"/>
      <c r="N317" s="240"/>
      <c r="O317" s="240"/>
      <c r="P317" s="145"/>
      <c r="Q317" s="755"/>
      <c r="R317" s="755"/>
      <c r="S317" s="755"/>
      <c r="T317" s="1228"/>
      <c r="U317" s="1983"/>
      <c r="V317" s="1983"/>
      <c r="W317" s="1983"/>
      <c r="X317" s="1983"/>
      <c r="Y317" s="1983"/>
      <c r="Z317" s="626"/>
      <c r="AA317" s="235"/>
      <c r="AB317" s="1984"/>
      <c r="AC317" s="1984"/>
      <c r="AD317" s="1984"/>
      <c r="AE317" s="1984"/>
      <c r="AF317" s="1984"/>
      <c r="AG317" s="1977"/>
      <c r="AH317" s="235"/>
      <c r="AI317" s="243"/>
    </row>
    <row r="318" spans="1:39" s="44" customFormat="1" ht="10.4" hidden="1" customHeight="1" thickTop="1" thickBot="1">
      <c r="A318" s="1"/>
      <c r="B318" s="1847"/>
      <c r="C318" s="1856"/>
      <c r="D318" s="1857"/>
      <c r="E318" s="1858"/>
      <c r="F318" s="1"/>
      <c r="G318" s="1145">
        <f>Text!$AQ$39</f>
        <v>212</v>
      </c>
      <c r="H318" s="1990" t="str">
        <f>Text!$AR$39</f>
        <v>Bewirtschaftungsgerechte Planung &amp; Realisierung</v>
      </c>
      <c r="I318" s="1991"/>
      <c r="J318" s="1991"/>
      <c r="K318" s="1992"/>
      <c r="L318" s="1306"/>
      <c r="M318" s="219"/>
      <c r="N318" s="240"/>
      <c r="O318" s="240"/>
      <c r="P318" s="145"/>
      <c r="Q318" s="755"/>
      <c r="R318" s="755"/>
      <c r="S318" s="755"/>
      <c r="T318" s="1228"/>
      <c r="U318" s="235"/>
      <c r="V318" s="17"/>
      <c r="W318" s="235"/>
      <c r="X318" s="235"/>
      <c r="Y318" s="235"/>
      <c r="Z318" s="235"/>
      <c r="AA318" s="235"/>
      <c r="AB318" s="1984"/>
      <c r="AC318" s="1984"/>
      <c r="AD318" s="1984"/>
      <c r="AE318" s="1984"/>
      <c r="AF318" s="1984"/>
      <c r="AG318" s="1977"/>
      <c r="AH318" s="235"/>
      <c r="AI318" s="243"/>
    </row>
    <row r="319" spans="1:39" s="44" customFormat="1" ht="10.4" hidden="1" customHeight="1" thickTop="1" thickBot="1">
      <c r="A319" s="1"/>
      <c r="B319" s="1847"/>
      <c r="C319" s="1856"/>
      <c r="D319" s="1857"/>
      <c r="E319" s="1858"/>
      <c r="F319" s="1"/>
      <c r="G319" s="1154">
        <f>Text!$AQ$40</f>
        <v>213</v>
      </c>
      <c r="H319" s="1912" t="str">
        <f>Text!$AR$40</f>
        <v>Wiederverwendung &amp; Systemtrennung</v>
      </c>
      <c r="I319" s="1913"/>
      <c r="J319" s="1913"/>
      <c r="K319" s="1914"/>
      <c r="L319" s="1306"/>
      <c r="M319" s="1227"/>
      <c r="N319" s="755"/>
      <c r="O319" s="1228"/>
      <c r="P319" s="145"/>
      <c r="Q319" s="755"/>
      <c r="R319" s="755"/>
      <c r="S319" s="755"/>
      <c r="T319" s="1228"/>
      <c r="U319" s="18"/>
      <c r="V319" s="18"/>
      <c r="W319" s="18"/>
      <c r="X319" s="235"/>
      <c r="Y319" s="235"/>
      <c r="Z319" s="235"/>
      <c r="AA319" s="235"/>
      <c r="AB319" s="1984"/>
      <c r="AC319" s="1984"/>
      <c r="AD319" s="1984"/>
      <c r="AE319" s="1984"/>
      <c r="AF319" s="1984"/>
      <c r="AG319" s="1977"/>
      <c r="AH319" s="235"/>
      <c r="AI319" s="243"/>
    </row>
    <row r="320" spans="1:39" s="44" customFormat="1" ht="2.15" hidden="1" customHeight="1" thickBot="1">
      <c r="A320" s="1"/>
      <c r="B320" s="1847"/>
      <c r="C320" s="1856"/>
      <c r="D320" s="1857"/>
      <c r="E320" s="1858"/>
      <c r="F320" s="1"/>
      <c r="G320" s="1"/>
      <c r="H320" s="1"/>
      <c r="I320" s="1"/>
      <c r="J320" s="1"/>
      <c r="K320" s="240"/>
      <c r="L320" s="240"/>
      <c r="M320" s="240"/>
      <c r="N320" s="2"/>
      <c r="O320" s="2"/>
      <c r="P320" s="2"/>
      <c r="Q320" s="755"/>
      <c r="R320" s="755"/>
      <c r="S320" s="755"/>
      <c r="T320" s="1228"/>
      <c r="U320" s="18"/>
      <c r="V320" s="18"/>
      <c r="W320" s="18"/>
      <c r="X320" s="235"/>
      <c r="Y320" s="235"/>
      <c r="Z320" s="235"/>
      <c r="AA320" s="235"/>
      <c r="AB320" s="1984"/>
      <c r="AC320" s="1984"/>
      <c r="AD320" s="1984"/>
      <c r="AE320" s="1984"/>
      <c r="AF320" s="1984"/>
      <c r="AG320" s="1977"/>
    </row>
    <row r="321" spans="1:36" s="44" customFormat="1" ht="10.4" hidden="1" customHeight="1" thickTop="1" thickBot="1">
      <c r="A321" s="1"/>
      <c r="B321" s="1847">
        <f>Text!$AM$41</f>
        <v>22</v>
      </c>
      <c r="C321" s="1856" t="str">
        <f>Text!$BA$29</f>
        <v xml:space="preserve">               Nutzbarkeit</v>
      </c>
      <c r="D321" s="1857"/>
      <c r="E321" s="1858"/>
      <c r="F321" s="1"/>
      <c r="G321" s="1145">
        <f>Text!$AQ$41</f>
        <v>221</v>
      </c>
      <c r="H321" s="1908" t="str">
        <f>Text!$AR$41</f>
        <v>Naturgefahren</v>
      </c>
      <c r="I321" s="1909"/>
      <c r="J321" s="1909"/>
      <c r="K321" s="1910"/>
      <c r="L321" s="1306"/>
      <c r="M321" s="240"/>
      <c r="N321" s="2"/>
      <c r="O321" s="2"/>
      <c r="P321" s="2"/>
      <c r="Q321" s="2"/>
      <c r="R321" s="2"/>
      <c r="S321" s="59"/>
      <c r="T321" s="1456"/>
      <c r="U321" s="1993"/>
      <c r="V321" s="1993"/>
      <c r="W321" s="1993"/>
      <c r="X321" s="1993"/>
      <c r="Y321" s="1993"/>
      <c r="Z321" s="626"/>
      <c r="AA321" s="235"/>
      <c r="AB321" s="1984"/>
      <c r="AC321" s="1984"/>
      <c r="AD321" s="1984"/>
      <c r="AE321" s="1984"/>
      <c r="AF321" s="1984"/>
      <c r="AG321" s="1977"/>
      <c r="AH321" s="235"/>
      <c r="AI321" s="243"/>
    </row>
    <row r="322" spans="1:36" s="44" customFormat="1" ht="10.4" hidden="1" customHeight="1" thickTop="1" thickBot="1">
      <c r="A322" s="1"/>
      <c r="B322" s="1847"/>
      <c r="C322" s="1856"/>
      <c r="D322" s="1857"/>
      <c r="E322" s="1858"/>
      <c r="F322" s="1"/>
      <c r="G322" s="1145">
        <f>Text!$AQ$42</f>
        <v>222</v>
      </c>
      <c r="H322" s="1990" t="str">
        <f>Text!$AR$42</f>
        <v>Nutzungsdichte</v>
      </c>
      <c r="I322" s="1991"/>
      <c r="J322" s="1991"/>
      <c r="K322" s="1992"/>
      <c r="L322" s="1306"/>
      <c r="M322" s="1151"/>
      <c r="N322" s="240"/>
      <c r="O322" s="240"/>
      <c r="P322" s="145"/>
      <c r="Q322" s="755"/>
      <c r="R322" s="755"/>
      <c r="S322" s="755"/>
      <c r="T322" s="1228"/>
      <c r="U322" s="18"/>
      <c r="V322" s="18"/>
      <c r="W322" s="18"/>
      <c r="X322" s="235"/>
      <c r="Y322" s="235"/>
      <c r="Z322" s="235"/>
      <c r="AA322" s="235"/>
      <c r="AB322" s="1984"/>
      <c r="AC322" s="1984"/>
      <c r="AD322" s="1984"/>
      <c r="AE322" s="1984"/>
      <c r="AF322" s="1984"/>
      <c r="AG322" s="1977"/>
    </row>
    <row r="323" spans="1:36" s="44" customFormat="1" ht="10" hidden="1" customHeight="1" thickTop="1" thickBot="1">
      <c r="A323" s="1"/>
      <c r="B323" s="1847"/>
      <c r="C323" s="1856"/>
      <c r="D323" s="1857"/>
      <c r="E323" s="1858"/>
      <c r="F323" s="1"/>
      <c r="G323" s="1154">
        <f>Text!$AQ$43</f>
        <v>223</v>
      </c>
      <c r="H323" s="1912" t="str">
        <f>Text!$AR$43</f>
        <v>Nutzungsflexibilität &amp; -variabilität</v>
      </c>
      <c r="I323" s="1913"/>
      <c r="J323" s="1913"/>
      <c r="K323" s="1914"/>
      <c r="L323" s="1306"/>
      <c r="M323" s="1227"/>
      <c r="N323" s="755"/>
      <c r="O323" s="1228"/>
      <c r="P323" s="145"/>
      <c r="Q323" s="755"/>
      <c r="R323" s="755"/>
      <c r="S323" s="755"/>
      <c r="T323" s="1228"/>
      <c r="U323" s="1983"/>
      <c r="V323" s="1983"/>
      <c r="W323" s="1983"/>
      <c r="X323" s="1983"/>
      <c r="Y323" s="1983"/>
      <c r="Z323" s="626"/>
      <c r="AA323" s="235"/>
      <c r="AB323" s="1984"/>
      <c r="AC323" s="1984"/>
      <c r="AD323" s="1984"/>
      <c r="AE323" s="1984"/>
      <c r="AF323" s="1984"/>
      <c r="AG323" s="1977"/>
      <c r="AH323" s="235"/>
      <c r="AI323" s="241"/>
      <c r="AJ323" s="241"/>
    </row>
    <row r="324" spans="1:36" s="44" customFormat="1" ht="2.15" hidden="1" customHeight="1" thickBot="1">
      <c r="A324" s="1"/>
      <c r="B324" s="1847">
        <f>Text!$AM$44</f>
        <v>23</v>
      </c>
      <c r="C324" s="1849" t="str">
        <f>Text!$BA$30</f>
        <v xml:space="preserve">               Regionalökonomie</v>
      </c>
      <c r="D324" s="1850"/>
      <c r="E324" s="1851"/>
      <c r="F324" s="1"/>
      <c r="G324" s="1"/>
      <c r="H324" s="1"/>
      <c r="I324" s="1"/>
      <c r="J324" s="1"/>
      <c r="K324" s="240"/>
      <c r="L324" s="240"/>
      <c r="M324" s="240"/>
      <c r="N324" s="2"/>
      <c r="O324" s="2"/>
      <c r="P324" s="2"/>
      <c r="Q324" s="755"/>
      <c r="R324" s="755"/>
      <c r="S324" s="755"/>
      <c r="T324" s="1228"/>
      <c r="U324" s="18"/>
      <c r="V324" s="18"/>
      <c r="W324" s="18"/>
      <c r="X324" s="235"/>
      <c r="Y324" s="235"/>
      <c r="Z324" s="235"/>
      <c r="AA324" s="235"/>
      <c r="AB324" s="1984"/>
      <c r="AC324" s="1984"/>
      <c r="AD324" s="1984"/>
      <c r="AE324" s="1984"/>
      <c r="AF324" s="1984"/>
      <c r="AG324" s="1977"/>
    </row>
    <row r="325" spans="1:36" ht="10.4" hidden="1" customHeight="1" thickTop="1" thickBot="1">
      <c r="B325" s="1847"/>
      <c r="C325" s="1849"/>
      <c r="D325" s="1850"/>
      <c r="E325" s="1851"/>
      <c r="G325" s="1145">
        <f>Text!$AQ$44</f>
        <v>231</v>
      </c>
      <c r="H325" s="1985" t="str">
        <f>Text!$AR$44</f>
        <v>Regionale Wertschöpfung</v>
      </c>
      <c r="I325" s="1986"/>
      <c r="J325" s="1986"/>
      <c r="K325" s="1987"/>
      <c r="L325" s="1306"/>
      <c r="M325" s="240"/>
      <c r="N325" s="2"/>
      <c r="O325" s="2"/>
      <c r="P325" s="2"/>
      <c r="Q325" s="2"/>
      <c r="R325" s="2"/>
      <c r="S325" s="59"/>
      <c r="T325" s="1456"/>
      <c r="AA325" s="235"/>
      <c r="AB325" s="1984"/>
      <c r="AC325" s="1984"/>
      <c r="AD325" s="1984"/>
      <c r="AE325" s="1984"/>
      <c r="AF325" s="1984"/>
      <c r="AG325" s="1977"/>
    </row>
    <row r="326" spans="1:36" ht="10.4" hidden="1" customHeight="1" thickBot="1">
      <c r="B326" s="1847"/>
      <c r="C326" s="1849"/>
      <c r="D326" s="1850"/>
      <c r="E326" s="1851"/>
      <c r="K326" s="240"/>
      <c r="L326" s="240"/>
      <c r="M326" s="240"/>
      <c r="N326" s="2"/>
      <c r="O326" s="2"/>
      <c r="P326" s="2"/>
      <c r="Q326" s="2"/>
      <c r="R326" s="2"/>
      <c r="S326" s="59"/>
      <c r="T326" s="1456"/>
      <c r="U326" s="235"/>
      <c r="V326" s="17"/>
      <c r="W326" s="235"/>
      <c r="X326" s="235"/>
      <c r="Y326" s="235"/>
      <c r="Z326" s="235"/>
      <c r="AA326" s="235"/>
      <c r="AB326" s="1984"/>
      <c r="AC326" s="1984"/>
      <c r="AD326" s="1984"/>
      <c r="AE326" s="1984"/>
      <c r="AF326" s="1984"/>
      <c r="AG326" s="1977"/>
    </row>
    <row r="327" spans="1:36" ht="10.4" hidden="1" customHeight="1" thickBot="1">
      <c r="B327" s="1848"/>
      <c r="C327" s="1849"/>
      <c r="D327" s="1850"/>
      <c r="E327" s="1851"/>
      <c r="K327" s="240"/>
      <c r="L327" s="240"/>
      <c r="M327" s="240"/>
      <c r="N327" s="2"/>
      <c r="O327" s="2"/>
      <c r="P327" s="2"/>
      <c r="Q327" s="755"/>
      <c r="R327" s="755"/>
      <c r="S327" s="755"/>
      <c r="T327" s="1228"/>
      <c r="AA327" s="235"/>
      <c r="AB327" s="1984"/>
      <c r="AC327" s="1984"/>
      <c r="AD327" s="1984"/>
      <c r="AE327" s="1984"/>
      <c r="AF327" s="1984"/>
      <c r="AG327" s="1977"/>
    </row>
    <row r="328" spans="1:36" ht="10.4" hidden="1" customHeight="1" thickTop="1"/>
    <row r="329" spans="1:36" ht="30" hidden="1" customHeight="1">
      <c r="B329" s="1891" t="str">
        <f>Text!$AK$46</f>
        <v>Umwelt</v>
      </c>
      <c r="C329" s="1891"/>
      <c r="D329" s="1891"/>
      <c r="E329" s="1891"/>
      <c r="F329" s="1249"/>
      <c r="G329" s="1988" t="str">
        <f>Text!C$570</f>
        <v>Im Bereich ''Umwelt'' wird ein Erfüllungsgrad von 0% erzielt</v>
      </c>
      <c r="H329" s="1988"/>
      <c r="I329" s="1988"/>
      <c r="J329" s="1988"/>
      <c r="K329" s="1988"/>
      <c r="L329" s="1304"/>
      <c r="Q329" s="1854"/>
      <c r="R329" s="1854"/>
      <c r="S329" s="14"/>
      <c r="T329" s="14"/>
      <c r="U329" s="1980"/>
      <c r="V329" s="1980"/>
      <c r="W329" s="1980"/>
      <c r="X329" s="1980"/>
      <c r="Y329" s="1980"/>
      <c r="Z329" s="1980"/>
      <c r="AA329" s="1453"/>
      <c r="AB329" s="1981"/>
      <c r="AC329" s="1981"/>
      <c r="AD329" s="1981"/>
      <c r="AE329" s="1981"/>
      <c r="AF329" s="1981"/>
      <c r="AG329" s="1981"/>
    </row>
    <row r="330" spans="1:36" ht="10.4" hidden="1" customHeight="1" thickBot="1">
      <c r="AA330" s="1"/>
    </row>
    <row r="331" spans="1:36" s="240" customFormat="1" ht="2.15" hidden="1" customHeight="1" thickTop="1" thickBot="1">
      <c r="A331" s="1"/>
      <c r="B331" s="1882">
        <f>Text!$AM$46</f>
        <v>31</v>
      </c>
      <c r="C331" s="1835" t="str">
        <f>Text!$BA$33</f>
        <v xml:space="preserve">               Klimaschutz</v>
      </c>
      <c r="D331" s="1836"/>
      <c r="E331" s="1837"/>
      <c r="F331" s="1"/>
      <c r="G331" s="1"/>
      <c r="H331" s="1"/>
      <c r="I331" s="1"/>
      <c r="J331" s="1"/>
      <c r="N331" s="2"/>
      <c r="O331" s="2"/>
      <c r="P331" s="2"/>
      <c r="Q331" s="2"/>
      <c r="R331" s="2"/>
      <c r="S331" s="59"/>
      <c r="T331" s="1456"/>
      <c r="U331" s="235"/>
      <c r="V331" s="17"/>
      <c r="W331" s="235"/>
      <c r="X331" s="235"/>
      <c r="Y331" s="235"/>
      <c r="Z331" s="235"/>
      <c r="AA331" s="235"/>
      <c r="AB331" s="1976"/>
      <c r="AC331" s="1976"/>
      <c r="AD331" s="1976"/>
      <c r="AE331" s="1976"/>
      <c r="AF331" s="1976"/>
      <c r="AG331" s="1977"/>
      <c r="AH331" s="235"/>
    </row>
    <row r="332" spans="1:36" s="44" customFormat="1" ht="10.4" hidden="1" customHeight="1" thickTop="1" thickBot="1">
      <c r="A332" s="1"/>
      <c r="B332" s="1833"/>
      <c r="C332" s="1838"/>
      <c r="D332" s="1839"/>
      <c r="E332" s="1840"/>
      <c r="F332" s="1"/>
      <c r="G332" s="1145">
        <f>Text!$AQ$46</f>
        <v>311</v>
      </c>
      <c r="H332" s="1885" t="str">
        <f>Text!$AR$46</f>
        <v>Treibhausgasemissionen Erstellung</v>
      </c>
      <c r="I332" s="1886"/>
      <c r="J332" s="1886"/>
      <c r="K332" s="1887"/>
      <c r="L332" s="1306"/>
      <c r="M332" s="1151"/>
      <c r="N332" s="240"/>
      <c r="O332" s="240"/>
      <c r="P332" s="145"/>
      <c r="Q332" s="755"/>
      <c r="R332" s="755"/>
      <c r="S332" s="755"/>
      <c r="T332" s="1228"/>
      <c r="AA332" s="235"/>
      <c r="AB332" s="1976"/>
      <c r="AC332" s="1976"/>
      <c r="AD332" s="1976"/>
      <c r="AE332" s="1976"/>
      <c r="AF332" s="1976"/>
      <c r="AG332" s="1977"/>
      <c r="AH332" s="235"/>
      <c r="AI332" s="243"/>
    </row>
    <row r="333" spans="1:36" s="44" customFormat="1" ht="10.4" hidden="1" customHeight="1" thickTop="1" thickBot="1">
      <c r="A333" s="1"/>
      <c r="B333" s="1833"/>
      <c r="C333" s="1838"/>
      <c r="D333" s="1839"/>
      <c r="E333" s="1840"/>
      <c r="F333" s="1"/>
      <c r="G333" s="1145">
        <f>Text!$AQ$47</f>
        <v>312</v>
      </c>
      <c r="H333" s="1885" t="str">
        <f>Text!$AR$47</f>
        <v>Treibhausgasemissionen Betrieb</v>
      </c>
      <c r="I333" s="1886"/>
      <c r="J333" s="1886"/>
      <c r="K333" s="1887"/>
      <c r="L333" s="1306"/>
      <c r="M333" s="219"/>
      <c r="N333" s="240"/>
      <c r="O333" s="240"/>
      <c r="P333" s="145"/>
      <c r="Q333" s="755"/>
      <c r="R333" s="755"/>
      <c r="S333" s="755"/>
      <c r="T333" s="1228"/>
      <c r="U333" s="1983"/>
      <c r="V333" s="1983"/>
      <c r="W333" s="1983"/>
      <c r="X333" s="1983"/>
      <c r="Y333" s="1983"/>
      <c r="Z333" s="626"/>
      <c r="AA333" s="235"/>
      <c r="AB333" s="1976"/>
      <c r="AC333" s="1976"/>
      <c r="AD333" s="1976"/>
      <c r="AE333" s="1976"/>
      <c r="AF333" s="1976"/>
      <c r="AG333" s="1977"/>
      <c r="AH333" s="235"/>
      <c r="AI333" s="243"/>
    </row>
    <row r="334" spans="1:36" s="44" customFormat="1" ht="10.4" hidden="1" customHeight="1" thickTop="1" thickBot="1">
      <c r="A334" s="1"/>
      <c r="B334" s="1833"/>
      <c r="C334" s="1838"/>
      <c r="D334" s="1839"/>
      <c r="E334" s="1840"/>
      <c r="F334" s="1"/>
      <c r="G334" s="1154">
        <f>Text!$AQ$48</f>
        <v>313</v>
      </c>
      <c r="H334" s="1885" t="str">
        <f>Text!$AR$48</f>
        <v>Treibhausgasemissionen Mobilität</v>
      </c>
      <c r="I334" s="1886"/>
      <c r="J334" s="1886"/>
      <c r="K334" s="1887"/>
      <c r="L334" s="1306"/>
      <c r="M334" s="1227"/>
      <c r="N334" s="755"/>
      <c r="O334" s="1228"/>
      <c r="P334" s="145"/>
      <c r="Q334" s="755"/>
      <c r="R334" s="755"/>
      <c r="S334" s="755"/>
      <c r="T334" s="1228"/>
      <c r="U334" s="18"/>
      <c r="V334" s="18"/>
      <c r="W334" s="18"/>
      <c r="X334" s="235"/>
      <c r="Y334" s="235"/>
      <c r="Z334" s="235"/>
      <c r="AA334" s="235"/>
      <c r="AB334" s="1976"/>
      <c r="AC334" s="1976"/>
      <c r="AD334" s="1976"/>
      <c r="AE334" s="1976"/>
      <c r="AF334" s="1976"/>
      <c r="AG334" s="1977"/>
      <c r="AH334" s="235"/>
      <c r="AI334" s="243"/>
    </row>
    <row r="335" spans="1:36" s="44" customFormat="1" ht="2.15" hidden="1" customHeight="1" thickTop="1" thickBot="1">
      <c r="A335" s="1"/>
      <c r="B335" s="1833"/>
      <c r="C335" s="1841"/>
      <c r="D335" s="1842"/>
      <c r="E335" s="1843"/>
      <c r="F335" s="1"/>
      <c r="G335" s="1"/>
      <c r="H335" s="1"/>
      <c r="I335" s="1"/>
      <c r="J335" s="1"/>
      <c r="K335" s="240"/>
      <c r="L335" s="240"/>
      <c r="M335" s="240"/>
      <c r="N335" s="2"/>
      <c r="O335" s="2"/>
      <c r="P335" s="2"/>
      <c r="Q335" s="755"/>
      <c r="R335" s="755"/>
      <c r="S335" s="755"/>
      <c r="T335" s="1228"/>
      <c r="U335" s="18"/>
      <c r="V335" s="18"/>
      <c r="W335" s="18"/>
      <c r="X335" s="235"/>
      <c r="Y335" s="235"/>
      <c r="Z335" s="235"/>
      <c r="AA335" s="235"/>
      <c r="AB335" s="1976"/>
      <c r="AC335" s="1976"/>
      <c r="AD335" s="1976"/>
      <c r="AE335" s="1976"/>
      <c r="AF335" s="1976"/>
      <c r="AG335" s="1977"/>
    </row>
    <row r="336" spans="1:36" s="44" customFormat="1" ht="10.4" hidden="1" customHeight="1" thickTop="1" thickBot="1">
      <c r="A336" s="1"/>
      <c r="B336" s="1833">
        <f>Text!$AM$49</f>
        <v>32</v>
      </c>
      <c r="C336" s="1835" t="str">
        <f>Text!$BA$34</f>
        <v xml:space="preserve">               Energie</v>
      </c>
      <c r="D336" s="1836"/>
      <c r="E336" s="1837"/>
      <c r="F336" s="1"/>
      <c r="G336" s="1145">
        <f>Text!$AQ$49</f>
        <v>321</v>
      </c>
      <c r="H336" s="1885" t="str">
        <f>Text!$AR$49</f>
        <v>Energiebedarf Erstellung</v>
      </c>
      <c r="I336" s="1886"/>
      <c r="J336" s="1886"/>
      <c r="K336" s="1887"/>
      <c r="L336" s="1306"/>
      <c r="M336" s="240"/>
      <c r="N336" s="2"/>
      <c r="O336" s="2"/>
      <c r="P336" s="2"/>
      <c r="Q336" s="2"/>
      <c r="R336" s="2"/>
      <c r="S336" s="59"/>
      <c r="T336" s="1456"/>
      <c r="U336" s="1457"/>
      <c r="V336" s="17"/>
      <c r="W336" s="235"/>
      <c r="X336" s="235"/>
      <c r="Y336" s="235"/>
      <c r="Z336" s="626"/>
      <c r="AA336" s="235"/>
      <c r="AB336" s="1976"/>
      <c r="AC336" s="1976"/>
      <c r="AD336" s="1976"/>
      <c r="AE336" s="1976"/>
      <c r="AF336" s="1976"/>
      <c r="AG336" s="1977"/>
      <c r="AH336" s="235"/>
      <c r="AI336" s="243"/>
    </row>
    <row r="337" spans="1:36" s="44" customFormat="1" ht="10.4" hidden="1" customHeight="1" thickTop="1" thickBot="1">
      <c r="A337" s="1"/>
      <c r="B337" s="1833"/>
      <c r="C337" s="1838"/>
      <c r="D337" s="1839"/>
      <c r="E337" s="1840"/>
      <c r="F337" s="1"/>
      <c r="G337" s="1145">
        <f>Text!$AQ$50</f>
        <v>322</v>
      </c>
      <c r="H337" s="1885" t="str">
        <f>Text!$AR$50</f>
        <v>Energiebedarf Betrieb</v>
      </c>
      <c r="I337" s="1886"/>
      <c r="J337" s="1886"/>
      <c r="K337" s="1887"/>
      <c r="L337" s="1306"/>
      <c r="M337" s="1151"/>
      <c r="N337" s="240"/>
      <c r="O337" s="240"/>
      <c r="P337" s="145"/>
      <c r="Q337" s="755"/>
      <c r="R337" s="755"/>
      <c r="S337" s="755"/>
      <c r="T337" s="1228"/>
      <c r="U337" s="1978"/>
      <c r="V337" s="1978"/>
      <c r="W337" s="1978"/>
      <c r="X337" s="1978"/>
      <c r="Y337" s="1978"/>
      <c r="Z337" s="626"/>
      <c r="AA337" s="235"/>
      <c r="AB337" s="1976"/>
      <c r="AC337" s="1976"/>
      <c r="AD337" s="1976"/>
      <c r="AE337" s="1976"/>
      <c r="AF337" s="1976"/>
      <c r="AG337" s="1977"/>
    </row>
    <row r="338" spans="1:36" s="44" customFormat="1" ht="10.4" hidden="1" customHeight="1" thickTop="1" thickBot="1">
      <c r="A338" s="1"/>
      <c r="B338" s="1833"/>
      <c r="C338" s="1841"/>
      <c r="D338" s="1842"/>
      <c r="E338" s="1843"/>
      <c r="F338" s="1"/>
      <c r="G338" s="1"/>
      <c r="H338" s="1"/>
      <c r="I338" s="1"/>
      <c r="J338" s="1"/>
      <c r="K338" s="240"/>
      <c r="L338" s="240"/>
      <c r="M338" s="1227"/>
      <c r="N338" s="755"/>
      <c r="O338" s="1228"/>
      <c r="P338" s="145"/>
      <c r="Q338" s="755"/>
      <c r="R338" s="755"/>
      <c r="S338" s="755"/>
      <c r="T338" s="1228"/>
      <c r="AA338" s="235"/>
      <c r="AB338" s="1976"/>
      <c r="AC338" s="1976"/>
      <c r="AD338" s="1976"/>
      <c r="AE338" s="1976"/>
      <c r="AF338" s="1976"/>
      <c r="AG338" s="1977"/>
      <c r="AH338" s="235"/>
      <c r="AI338" s="241"/>
      <c r="AJ338" s="241"/>
    </row>
    <row r="339" spans="1:36" s="44" customFormat="1" ht="2.15" hidden="1" customHeight="1" thickBot="1">
      <c r="A339" s="1"/>
      <c r="B339" s="1833">
        <f>Text!$AM$51</f>
        <v>33</v>
      </c>
      <c r="C339" s="1894" t="str">
        <f>Text!$BA$35</f>
        <v xml:space="preserve">                  Ressourcenschonung 
                   &amp; Umweltschutz</v>
      </c>
      <c r="D339" s="1895"/>
      <c r="E339" s="1896"/>
      <c r="F339" s="1"/>
      <c r="G339" s="1"/>
      <c r="H339" s="1"/>
      <c r="I339" s="1"/>
      <c r="J339" s="1"/>
      <c r="K339" s="240"/>
      <c r="L339" s="240"/>
      <c r="M339" s="240"/>
      <c r="N339" s="755"/>
      <c r="O339" s="2"/>
      <c r="P339" s="2"/>
      <c r="Q339" s="755"/>
      <c r="R339" s="755"/>
      <c r="S339" s="755"/>
      <c r="T339" s="1228"/>
      <c r="U339" s="18"/>
      <c r="V339" s="18"/>
      <c r="W339" s="18"/>
      <c r="X339" s="235"/>
      <c r="Y339" s="235"/>
      <c r="Z339" s="235"/>
      <c r="AA339" s="235"/>
      <c r="AB339" s="1982"/>
      <c r="AC339" s="1982"/>
      <c r="AD339" s="1982"/>
      <c r="AE339" s="1982"/>
      <c r="AF339" s="1982"/>
      <c r="AG339" s="1977"/>
    </row>
    <row r="340" spans="1:36" ht="10.4" hidden="1" customHeight="1" thickTop="1" thickBot="1">
      <c r="B340" s="1833"/>
      <c r="C340" s="1897"/>
      <c r="D340" s="1898"/>
      <c r="E340" s="1899"/>
      <c r="G340" s="1145">
        <f>Text!$AQ$51</f>
        <v>331</v>
      </c>
      <c r="H340" s="1885" t="str">
        <f>Text!$AR$51</f>
        <v>Baustelle</v>
      </c>
      <c r="I340" s="1886"/>
      <c r="J340" s="1886"/>
      <c r="K340" s="1887"/>
      <c r="L340" s="1306"/>
      <c r="M340" s="240"/>
      <c r="N340" s="2"/>
      <c r="O340" s="2"/>
      <c r="P340" s="2"/>
      <c r="Q340" s="2"/>
      <c r="R340" s="2"/>
      <c r="S340" s="59"/>
      <c r="T340" s="1456"/>
      <c r="U340" s="1457"/>
      <c r="V340" s="17"/>
      <c r="W340" s="235"/>
      <c r="X340" s="235"/>
      <c r="Y340" s="235"/>
      <c r="Z340" s="626"/>
      <c r="AA340" s="235"/>
      <c r="AB340" s="1982"/>
      <c r="AC340" s="1982"/>
      <c r="AD340" s="1982"/>
      <c r="AE340" s="1982"/>
      <c r="AF340" s="1982"/>
      <c r="AG340" s="1977"/>
    </row>
    <row r="341" spans="1:36" ht="10.4" hidden="1" customHeight="1" thickTop="1" thickBot="1">
      <c r="B341" s="1833"/>
      <c r="C341" s="1897"/>
      <c r="D341" s="1898"/>
      <c r="E341" s="1899"/>
      <c r="G341" s="1145">
        <f>Text!$AQ$52</f>
        <v>332</v>
      </c>
      <c r="H341" s="1885" t="str">
        <f>Text!$AR$52</f>
        <v>Ökologische Baustoffe</v>
      </c>
      <c r="I341" s="1886"/>
      <c r="J341" s="1886"/>
      <c r="K341" s="1887"/>
      <c r="L341" s="1306"/>
      <c r="M341" s="240"/>
      <c r="N341" s="2"/>
      <c r="O341" s="2"/>
      <c r="P341" s="2"/>
      <c r="Q341" s="2"/>
      <c r="R341" s="2"/>
      <c r="S341" s="59"/>
      <c r="T341" s="1456"/>
      <c r="U341" s="1457"/>
      <c r="V341" s="17"/>
      <c r="W341" s="235"/>
      <c r="X341" s="235"/>
      <c r="Y341" s="235"/>
      <c r="Z341" s="626"/>
      <c r="AA341" s="235"/>
      <c r="AB341" s="1982"/>
      <c r="AC341" s="1982"/>
      <c r="AD341" s="1982"/>
      <c r="AE341" s="1982"/>
      <c r="AF341" s="1982"/>
      <c r="AG341" s="1977"/>
    </row>
    <row r="342" spans="1:36" ht="10.4" hidden="1" customHeight="1" thickTop="1" thickBot="1">
      <c r="B342" s="1833"/>
      <c r="C342" s="1897"/>
      <c r="D342" s="1898"/>
      <c r="E342" s="1899"/>
      <c r="G342" s="1154">
        <f>Text!$AQ$53</f>
        <v>333</v>
      </c>
      <c r="H342" s="1885" t="str">
        <f>Text!$AR$53</f>
        <v>Systematische Inbetriebnahme</v>
      </c>
      <c r="I342" s="1886"/>
      <c r="J342" s="1886"/>
      <c r="K342" s="1887"/>
      <c r="L342" s="1306"/>
      <c r="M342" s="240"/>
      <c r="N342" s="2"/>
      <c r="O342" s="2"/>
      <c r="P342" s="2"/>
      <c r="Q342" s="2"/>
      <c r="R342" s="2"/>
      <c r="S342" s="59"/>
      <c r="T342" s="1456"/>
      <c r="U342" s="1457"/>
      <c r="V342" s="17"/>
      <c r="W342" s="235"/>
      <c r="X342" s="235"/>
      <c r="Y342" s="235"/>
      <c r="Z342" s="626"/>
      <c r="AA342" s="235"/>
      <c r="AB342" s="1982"/>
      <c r="AC342" s="1982"/>
      <c r="AD342" s="1982"/>
      <c r="AE342" s="1982"/>
      <c r="AF342" s="1982"/>
      <c r="AG342" s="1977"/>
    </row>
    <row r="343" spans="1:36" ht="10.4" hidden="1" customHeight="1" thickTop="1" thickBot="1">
      <c r="B343" s="1833"/>
      <c r="C343" s="1897"/>
      <c r="D343" s="1898"/>
      <c r="E343" s="1899"/>
      <c r="G343" s="1154">
        <f>Text!$AQ$54</f>
        <v>334</v>
      </c>
      <c r="H343" s="1885" t="str">
        <f>Text!$AR$54</f>
        <v>Energiemonitoring</v>
      </c>
      <c r="I343" s="1886"/>
      <c r="J343" s="1886"/>
      <c r="K343" s="1887"/>
      <c r="L343" s="1306"/>
      <c r="M343" s="240"/>
      <c r="N343" s="2"/>
      <c r="O343" s="2"/>
      <c r="P343" s="2"/>
      <c r="Q343" s="2"/>
      <c r="R343" s="2"/>
      <c r="S343" s="59"/>
      <c r="T343" s="1456"/>
      <c r="U343" s="1978"/>
      <c r="V343" s="1978"/>
      <c r="W343" s="1978"/>
      <c r="X343" s="1978"/>
      <c r="Y343" s="1978"/>
      <c r="Z343" s="626"/>
      <c r="AA343" s="235"/>
      <c r="AB343" s="1982"/>
      <c r="AC343" s="1982"/>
      <c r="AD343" s="1982"/>
      <c r="AE343" s="1982"/>
      <c r="AF343" s="1982"/>
      <c r="AG343" s="1977"/>
    </row>
    <row r="344" spans="1:36" ht="10.4" hidden="1" customHeight="1" thickTop="1" thickBot="1">
      <c r="B344" s="1833"/>
      <c r="C344" s="1897"/>
      <c r="D344" s="1898"/>
      <c r="E344" s="1899"/>
      <c r="G344" s="1154">
        <f>Text!$AQ$55</f>
        <v>335</v>
      </c>
      <c r="H344" s="1885" t="str">
        <f>Text!$AR$55</f>
        <v>Mobilitätsmassnahmen</v>
      </c>
      <c r="I344" s="1886"/>
      <c r="J344" s="1886"/>
      <c r="K344" s="1887"/>
      <c r="L344" s="1306"/>
      <c r="M344" s="240"/>
      <c r="N344" s="2"/>
      <c r="O344" s="2"/>
      <c r="P344" s="2"/>
      <c r="Q344" s="2"/>
      <c r="R344" s="2"/>
      <c r="S344" s="59"/>
      <c r="T344" s="1456"/>
      <c r="U344" s="235"/>
      <c r="V344" s="17"/>
      <c r="W344" s="235"/>
      <c r="X344" s="235"/>
      <c r="Y344" s="235"/>
      <c r="Z344" s="235"/>
      <c r="AA344" s="235"/>
      <c r="AB344" s="1982"/>
      <c r="AC344" s="1982"/>
      <c r="AD344" s="1982"/>
      <c r="AE344" s="1982"/>
      <c r="AF344" s="1982"/>
      <c r="AG344" s="1977"/>
    </row>
    <row r="345" spans="1:36" ht="10.4" hidden="1" customHeight="1" thickTop="1" thickBot="1">
      <c r="B345" s="1833"/>
      <c r="C345" s="1900"/>
      <c r="D345" s="1901"/>
      <c r="E345" s="1902"/>
      <c r="G345" s="1154">
        <f>Text!$AQ$56</f>
        <v>336</v>
      </c>
      <c r="H345" s="1885" t="str">
        <f>Text!$AR$56</f>
        <v>Elektro-Mobilität</v>
      </c>
      <c r="I345" s="1886"/>
      <c r="J345" s="1886"/>
      <c r="K345" s="1887"/>
      <c r="L345" s="1306"/>
      <c r="M345" s="240"/>
      <c r="N345" s="2"/>
      <c r="O345" s="2"/>
      <c r="P345" s="2"/>
      <c r="Q345" s="755"/>
      <c r="R345" s="755"/>
      <c r="S345" s="755"/>
      <c r="T345" s="1228"/>
      <c r="U345" s="1457"/>
      <c r="V345" s="17"/>
      <c r="W345" s="235"/>
      <c r="X345" s="235"/>
      <c r="Y345" s="235"/>
      <c r="Z345" s="626"/>
      <c r="AA345" s="235"/>
      <c r="AB345" s="1982"/>
      <c r="AC345" s="1982"/>
      <c r="AD345" s="1982"/>
      <c r="AE345" s="1982"/>
      <c r="AF345" s="1982"/>
      <c r="AG345" s="1977"/>
    </row>
    <row r="346" spans="1:36" s="44" customFormat="1" ht="2.15" hidden="1" customHeight="1" thickBot="1">
      <c r="A346" s="1"/>
      <c r="B346" s="1833">
        <f>Text!$AM$57</f>
        <v>34</v>
      </c>
      <c r="C346" s="1835" t="str">
        <f>Text!$BA$36</f>
        <v xml:space="preserve">               Natur &amp; Landschaft</v>
      </c>
      <c r="D346" s="1836"/>
      <c r="E346" s="1837"/>
      <c r="F346" s="1"/>
      <c r="G346" s="1"/>
      <c r="H346" s="1"/>
      <c r="I346" s="1"/>
      <c r="J346" s="1"/>
      <c r="K346" s="240"/>
      <c r="L346" s="240"/>
      <c r="N346" s="2"/>
      <c r="O346" s="2"/>
      <c r="P346" s="2"/>
      <c r="Q346" s="755"/>
      <c r="R346" s="755"/>
      <c r="S346" s="755"/>
      <c r="T346" s="1228"/>
      <c r="U346" s="18"/>
      <c r="V346" s="18"/>
      <c r="W346" s="18"/>
      <c r="X346" s="235"/>
      <c r="Y346" s="235"/>
      <c r="Z346" s="235"/>
      <c r="AA346" s="235"/>
      <c r="AB346" s="1976"/>
      <c r="AC346" s="1976"/>
      <c r="AD346" s="1976"/>
      <c r="AE346" s="1976"/>
      <c r="AF346" s="1976"/>
      <c r="AG346" s="1977"/>
    </row>
    <row r="347" spans="1:36" s="44" customFormat="1" ht="10.4" hidden="1" customHeight="1" thickTop="1" thickBot="1">
      <c r="A347" s="1"/>
      <c r="B347" s="1833"/>
      <c r="C347" s="1838"/>
      <c r="D347" s="1839"/>
      <c r="E347" s="1840"/>
      <c r="F347" s="1"/>
      <c r="G347" s="1145">
        <f>Text!$AQ$57</f>
        <v>341</v>
      </c>
      <c r="H347" s="1885" t="str">
        <f>Text!$AR$57</f>
        <v>Biodiversität</v>
      </c>
      <c r="I347" s="1886"/>
      <c r="J347" s="1886"/>
      <c r="K347" s="1887"/>
      <c r="L347" s="240"/>
      <c r="M347" s="240"/>
      <c r="N347" s="2"/>
      <c r="O347" s="2"/>
      <c r="P347" s="2"/>
      <c r="Q347" s="2"/>
      <c r="R347" s="2"/>
      <c r="S347" s="59"/>
      <c r="T347" s="1456"/>
      <c r="U347" s="1457"/>
      <c r="V347" s="17"/>
      <c r="W347" s="235"/>
      <c r="X347" s="235"/>
      <c r="Y347" s="235"/>
      <c r="Z347" s="626"/>
      <c r="AA347" s="235"/>
      <c r="AB347" s="1976"/>
      <c r="AC347" s="1976"/>
      <c r="AD347" s="1976"/>
      <c r="AE347" s="1976"/>
      <c r="AF347" s="1976"/>
      <c r="AG347" s="1977"/>
      <c r="AH347" s="235"/>
      <c r="AI347" s="243"/>
    </row>
    <row r="348" spans="1:36" s="44" customFormat="1" ht="10.4" hidden="1" customHeight="1" thickTop="1" thickBot="1">
      <c r="A348" s="1"/>
      <c r="B348" s="1833"/>
      <c r="C348" s="1838"/>
      <c r="D348" s="1839"/>
      <c r="E348" s="1840"/>
      <c r="F348" s="1"/>
      <c r="G348" s="1145">
        <f>Text!$AQ$58</f>
        <v>342</v>
      </c>
      <c r="H348" s="1885" t="str">
        <f>Text!$AR$58</f>
        <v>Wasser</v>
      </c>
      <c r="I348" s="1886"/>
      <c r="J348" s="1886"/>
      <c r="K348" s="1887"/>
      <c r="L348" s="1306"/>
      <c r="M348" s="1151"/>
      <c r="N348" s="240"/>
      <c r="O348" s="240"/>
      <c r="P348" s="145"/>
      <c r="Q348" s="755"/>
      <c r="R348" s="755"/>
      <c r="S348" s="755"/>
      <c r="T348" s="1228"/>
      <c r="U348" s="1978"/>
      <c r="V348" s="1978"/>
      <c r="W348" s="1978"/>
      <c r="X348" s="1978"/>
      <c r="Y348" s="1978"/>
      <c r="Z348" s="626"/>
      <c r="AA348" s="235"/>
      <c r="AB348" s="1976"/>
      <c r="AC348" s="1976"/>
      <c r="AD348" s="1976"/>
      <c r="AE348" s="1976"/>
      <c r="AF348" s="1976"/>
      <c r="AG348" s="1977"/>
    </row>
    <row r="349" spans="1:36" s="44" customFormat="1" ht="10.4" hidden="1" customHeight="1" thickTop="1" thickBot="1">
      <c r="A349" s="1"/>
      <c r="B349" s="1834"/>
      <c r="C349" s="1841"/>
      <c r="D349" s="1842"/>
      <c r="E349" s="1843"/>
      <c r="F349" s="1"/>
      <c r="G349" s="1154">
        <f>Text!$AQ$59</f>
        <v>343</v>
      </c>
      <c r="H349" s="1885" t="str">
        <f>Text!$AR$59</f>
        <v>Haushälterische Bodennutzung</v>
      </c>
      <c r="I349" s="1886"/>
      <c r="J349" s="1886"/>
      <c r="K349" s="1887"/>
      <c r="L349" s="1306"/>
      <c r="M349" s="1227"/>
      <c r="N349" s="755"/>
      <c r="O349" s="1228"/>
      <c r="P349" s="145"/>
      <c r="Q349" s="755"/>
      <c r="R349" s="755"/>
      <c r="S349" s="755"/>
      <c r="T349" s="1228"/>
      <c r="AA349" s="235"/>
      <c r="AB349" s="1976"/>
      <c r="AC349" s="1976"/>
      <c r="AD349" s="1976"/>
      <c r="AE349" s="1976"/>
      <c r="AF349" s="1976"/>
      <c r="AG349" s="1977"/>
      <c r="AH349" s="235"/>
      <c r="AI349" s="241"/>
      <c r="AJ349" s="241"/>
    </row>
    <row r="350" spans="1:36" ht="10.4" hidden="1" customHeight="1" thickTop="1"/>
    <row r="351" spans="1:36" ht="31" hidden="1" customHeight="1">
      <c r="B351" s="1893" t="str">
        <f>Text!$C$590</f>
        <v>Gesamtnote</v>
      </c>
      <c r="C351" s="1893"/>
      <c r="D351" s="1893"/>
      <c r="E351" s="1893"/>
      <c r="F351" s="1277"/>
      <c r="G351" s="1979" t="str">
        <f>Text!C$578</f>
        <v>Das Projekt wurde als 0 % nachhaltig beim Pre-Check bewertet</v>
      </c>
      <c r="H351" s="1979"/>
      <c r="I351" s="1979"/>
      <c r="J351" s="1979"/>
      <c r="K351" s="1979"/>
      <c r="L351" s="1304"/>
      <c r="Q351" s="1854"/>
      <c r="R351" s="1854"/>
      <c r="S351" s="14"/>
      <c r="T351" s="14"/>
      <c r="U351" s="1980"/>
      <c r="V351" s="1980"/>
      <c r="W351" s="1980"/>
      <c r="X351" s="1980"/>
      <c r="Y351" s="1980"/>
      <c r="Z351" s="1980"/>
      <c r="AA351" s="1453"/>
      <c r="AB351" s="1981"/>
      <c r="AC351" s="1981"/>
      <c r="AD351" s="1981"/>
      <c r="AE351" s="1981"/>
      <c r="AF351" s="1981"/>
      <c r="AG351" s="1981"/>
    </row>
    <row r="352" spans="1:36" hidden="1"/>
    <row r="353" spans="2:39" s="48" customFormat="1" ht="30" hidden="1" customHeight="1">
      <c r="AA353" s="91"/>
    </row>
    <row r="354" spans="2:39" ht="30" hidden="1" customHeight="1">
      <c r="K354" s="1785"/>
      <c r="L354" s="1785"/>
      <c r="M354" s="1785"/>
      <c r="N354" s="1785"/>
      <c r="O354" s="1785"/>
      <c r="P354" s="477"/>
      <c r="Q354" s="477"/>
      <c r="S354" s="976"/>
      <c r="T354" s="976"/>
      <c r="Z354" s="976" t="str">
        <f>Text!$C$39</f>
        <v>SNBS-HOCHBAU</v>
      </c>
      <c r="AA354" s="976"/>
    </row>
    <row r="355" spans="2:39" ht="31.5" hidden="1" customHeight="1">
      <c r="D355" s="231" t="str">
        <f>Text!$C$554</f>
        <v>Datum:</v>
      </c>
      <c r="E355" s="1830"/>
      <c r="F355" s="1830"/>
      <c r="G355" s="1830"/>
      <c r="H355" s="1830"/>
      <c r="I355" s="46"/>
      <c r="J355" s="46"/>
      <c r="K355" s="1786"/>
      <c r="L355" s="1786"/>
      <c r="M355" s="1786"/>
      <c r="N355" s="1786"/>
      <c r="O355" s="1786"/>
      <c r="P355" s="478"/>
      <c r="Q355" s="478"/>
      <c r="S355" s="1127"/>
      <c r="T355" s="1127"/>
      <c r="Z355" s="1127" t="str">
        <f>Text!$C$40</f>
        <v>Version 2023.1</v>
      </c>
      <c r="AA355" s="1127"/>
    </row>
    <row r="356" spans="2:39" ht="14.15" hidden="1" customHeight="1">
      <c r="D356" s="19" t="str">
        <f>Text!$C$555</f>
        <v>Name des Projekts:</v>
      </c>
      <c r="E356" s="1831"/>
      <c r="F356" s="1831"/>
      <c r="G356" s="1831"/>
      <c r="H356" s="1831"/>
      <c r="K356" s="1832"/>
      <c r="L356" s="1832"/>
      <c r="M356" s="1832"/>
      <c r="N356" s="1832"/>
      <c r="O356" s="1832"/>
      <c r="P356" s="479"/>
      <c r="Q356" s="479"/>
    </row>
    <row r="357" spans="2:39" s="48" customFormat="1" ht="32.5" hidden="1" customHeight="1">
      <c r="H357" s="470"/>
      <c r="I357" s="194"/>
      <c r="J357" s="194"/>
      <c r="K357" s="194"/>
      <c r="L357" s="194"/>
      <c r="M357" s="1789" t="str">
        <f>IF(Tool!H364="","",IF(AND(Tool!H353="Deutsch",Tool!H364="Pre-Check"),"Pre-Check SNBS 2023.1 Hochbau",IF(AND(Tool!H353="Deutsch",Tool!H364="Pre-Check &amp; Klima-Check"),"Pre-Check &amp; Klima-Check SNBS 2023.1 Hochbau",IF(AND(Tool!H353="Deutsch",Tool!H364="Klima-Check"),"Klima-Check SNBS 2023.1 Hochbau",IF(AND(Tool!H353="Français",Tool!H364="Pre-Check &amp; Check Climat"),"Pre-Check &amp; Check Climat SNBS 2023.1 Bâtiment",IF(AND(Tool!H353="Français",Tool!H364="Check Climat"),"Check Climat SNBS 2023.1 Bâtiment",IF(AND(Tool!H353="Français",Tool!H364="Pre-Check"),"Pre-Check SNBS 2023.1 Bâtiment",IF(AND(Tool!H353="Italiano",Tool!H364="Pre-Check &amp; Check Clima"),"Pre-Check &amp; Check Clima SNBS 2023.1 Edificio",IF(AND(Tool!H353="Italiano",Tool!H364="Check Clima"),"Check Clima SNBS 2023.1 Edificio",IF(AND(Tool!H353="Italiano",Tool!H364="Pre-Check"),"Pre-Check SNBS 2023.1 Edificio","Pre-Check SNBS 2023.1 Hochbau"))))))))))</f>
        <v/>
      </c>
      <c r="N357" s="1789"/>
      <c r="O357" s="1789"/>
      <c r="P357" s="1789"/>
      <c r="Q357" s="1789"/>
      <c r="R357" s="1789"/>
      <c r="S357" s="1789"/>
      <c r="T357" s="1789"/>
      <c r="U357" s="1789"/>
      <c r="AA357" s="91"/>
    </row>
    <row r="358" spans="2:39" s="4" customFormat="1" ht="117.65" hidden="1" customHeight="1">
      <c r="C358" s="21"/>
      <c r="D358" s="1728" t="str">
        <f>Text!$C$561&amp;"
"&amp;Text!$C$562&amp;"
"&amp;Text!$C$566&amp;"
"&amp;Text!$C$567</f>
        <v>Die Illustrationen im Ergebnisregister fassen die Projektbewertung zusammen und bestehen aus zwei Teilen:
Die erste Abbildung, steht die Bewertung der einzelnen Themen in Form von einem Spinnendiagram dar. Dieses ermöglicht die rasche Identifizierung von Stärken und Schwächen innerhalb des Projekts, aber auch den visuellen Vergleich zwischen Projektvarianten oder unterschiedlichen Projekten.
In der Abbildung auf der zweiten Seite wird in Form von horizontalen Balken gezeigt, wie gut ein Projekt die Anforderungen des SNBS in den jeweiligen Themen der Bereiche Gesellschaft, Wirtschaft und Umwelt sowie in den Bereichen selbst erfüllt.
Dazu werden die einzelnen Kriterien mit Farbcodes bewertet: Grüne Schrift und durchgestrichen bedeutet «gut», nur grüne Schrift steht für «genügend», rote Schrift steht für «ungenügend» und fette rote Schrift in rotem Rahmen kennzeichnet die «Stolpersteine».</v>
      </c>
      <c r="E358" s="1728"/>
      <c r="F358" s="1728"/>
      <c r="G358" s="1728"/>
      <c r="H358" s="1728"/>
      <c r="I358" s="1728"/>
      <c r="J358" s="1728"/>
      <c r="K358" s="1728"/>
      <c r="L358" s="1728"/>
      <c r="M358" s="1728"/>
      <c r="N358" s="1728"/>
      <c r="O358" s="1728"/>
      <c r="P358" s="1728"/>
      <c r="Q358" s="1728"/>
      <c r="R358" s="1728"/>
      <c r="S358" s="1728"/>
      <c r="T358" s="1728"/>
      <c r="U358" s="1728"/>
      <c r="V358" s="1728"/>
      <c r="W358" s="1728"/>
      <c r="X358" s="1728"/>
      <c r="Y358" s="1728"/>
      <c r="Z358" s="1728"/>
      <c r="AA358" s="1728"/>
      <c r="AB358" s="1728"/>
      <c r="AC358" s="1728"/>
      <c r="AD358" s="1728"/>
      <c r="AE358" s="1728"/>
      <c r="AF358" s="1728"/>
      <c r="AG358" s="125"/>
      <c r="AH358" s="125"/>
      <c r="AI358" s="125"/>
      <c r="AJ358" s="125"/>
      <c r="AK358" s="125"/>
      <c r="AL358" s="125"/>
    </row>
    <row r="359" spans="2:39" s="4" customFormat="1" ht="10.4" hidden="1" customHeight="1">
      <c r="C359" s="21"/>
      <c r="D359" s="125"/>
      <c r="E359" s="125"/>
      <c r="F359" s="125"/>
      <c r="G359" s="125"/>
      <c r="H359" s="125"/>
      <c r="I359" s="125"/>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row>
    <row r="360" spans="2:39" ht="20.149999999999999" hidden="1" customHeight="1">
      <c r="K360" s="131"/>
      <c r="L360" s="131"/>
      <c r="M360" s="78"/>
      <c r="V360" s="1267"/>
      <c r="W360" s="1267"/>
      <c r="X360" s="1267"/>
      <c r="Y360" s="1267"/>
      <c r="Z360" s="1267"/>
      <c r="AA360" s="1267"/>
      <c r="AB360" s="1971"/>
      <c r="AC360" s="1971"/>
      <c r="AD360" s="1971"/>
      <c r="AE360" s="1971"/>
      <c r="AF360" s="131"/>
      <c r="AG360" s="1234"/>
      <c r="AH360" s="475"/>
      <c r="AI360" s="78"/>
      <c r="AJ360" s="78"/>
      <c r="AK360" s="78"/>
      <c r="AL360" s="78"/>
      <c r="AM360" s="78"/>
    </row>
    <row r="361" spans="2:39" ht="5.15" hidden="1" customHeight="1">
      <c r="B361" s="1957"/>
      <c r="C361" s="1957"/>
      <c r="D361" s="1957"/>
      <c r="E361" s="1957"/>
      <c r="F361" s="1957"/>
      <c r="G361" s="1957"/>
      <c r="H361" s="1957"/>
      <c r="I361" s="1957"/>
      <c r="J361" s="1957"/>
      <c r="K361" s="1957"/>
      <c r="M361" s="78"/>
      <c r="V361" s="1267"/>
      <c r="W361" s="1267"/>
      <c r="X361" s="1267"/>
      <c r="Y361" s="1267"/>
      <c r="Z361" s="1267"/>
      <c r="AA361" s="1267"/>
      <c r="AE361" s="475"/>
      <c r="AG361" s="475"/>
      <c r="AH361" s="475"/>
      <c r="AI361" s="78"/>
      <c r="AJ361" s="78"/>
      <c r="AK361" s="78"/>
      <c r="AL361" s="78"/>
      <c r="AM361" s="78"/>
    </row>
    <row r="362" spans="2:39" ht="10.4" hidden="1" customHeight="1">
      <c r="B362" s="1957"/>
      <c r="C362" s="1957"/>
      <c r="D362" s="1957"/>
      <c r="E362" s="1957"/>
      <c r="F362" s="1957"/>
      <c r="G362" s="1957"/>
      <c r="H362" s="1957"/>
      <c r="I362" s="1957"/>
      <c r="J362" s="1957"/>
      <c r="K362" s="1957"/>
      <c r="L362" s="131"/>
      <c r="M362" s="78"/>
      <c r="V362" s="1267"/>
      <c r="W362" s="1267"/>
      <c r="X362" s="1267"/>
      <c r="Y362" s="1267"/>
      <c r="Z362" s="1267"/>
      <c r="AA362" s="1267"/>
      <c r="AB362" s="1972"/>
      <c r="AC362" s="1972"/>
      <c r="AD362" s="1972"/>
      <c r="AF362" s="131"/>
      <c r="AI362" s="78"/>
      <c r="AJ362" s="78"/>
      <c r="AK362" s="78"/>
      <c r="AL362" s="78"/>
      <c r="AM362" s="78"/>
    </row>
    <row r="363" spans="2:39" ht="2.15" hidden="1" customHeight="1">
      <c r="B363" s="1957"/>
      <c r="C363" s="1957"/>
      <c r="D363" s="1957"/>
      <c r="E363" s="1957"/>
      <c r="F363" s="1957"/>
      <c r="G363" s="1957"/>
      <c r="H363" s="1957"/>
      <c r="I363" s="1957"/>
      <c r="J363" s="1957"/>
      <c r="K363" s="1957"/>
      <c r="L363" s="131"/>
      <c r="M363" s="78"/>
      <c r="V363" s="1267"/>
      <c r="W363" s="1267"/>
      <c r="X363" s="1267"/>
      <c r="Y363" s="1267"/>
      <c r="Z363" s="1267"/>
      <c r="AA363" s="1267"/>
      <c r="AB363" s="472"/>
      <c r="AF363" s="131"/>
      <c r="AI363" s="78"/>
      <c r="AJ363" s="78"/>
      <c r="AK363" s="78"/>
      <c r="AL363" s="78"/>
      <c r="AM363" s="78"/>
    </row>
    <row r="364" spans="2:39" ht="10.4" hidden="1" customHeight="1">
      <c r="B364" s="1957"/>
      <c r="C364" s="1957"/>
      <c r="D364" s="1957"/>
      <c r="E364" s="1957"/>
      <c r="F364" s="1957"/>
      <c r="G364" s="1957"/>
      <c r="H364" s="1957"/>
      <c r="I364" s="1957"/>
      <c r="J364" s="1957"/>
      <c r="K364" s="1957"/>
      <c r="L364" s="131"/>
      <c r="M364" s="78"/>
      <c r="V364" s="1268"/>
      <c r="W364" s="1268"/>
      <c r="X364"/>
      <c r="Y364" s="1269"/>
      <c r="Z364" s="1269"/>
      <c r="AA364" s="1269"/>
      <c r="AB364" s="1973"/>
      <c r="AC364" s="1973"/>
      <c r="AD364" s="1973"/>
      <c r="AF364" s="131"/>
      <c r="AI364" s="78"/>
      <c r="AJ364" s="78"/>
      <c r="AK364" s="78"/>
      <c r="AL364" s="78"/>
      <c r="AM364" s="78"/>
    </row>
    <row r="365" spans="2:39" ht="2.15" hidden="1" customHeight="1">
      <c r="B365" s="1957"/>
      <c r="C365" s="1957"/>
      <c r="D365" s="1957"/>
      <c r="E365" s="1957"/>
      <c r="F365" s="1957"/>
      <c r="G365" s="1957"/>
      <c r="H365" s="1957"/>
      <c r="I365" s="1957"/>
      <c r="J365" s="1957"/>
      <c r="K365" s="1957"/>
      <c r="L365" s="131"/>
      <c r="M365" s="78"/>
      <c r="O365" s="11"/>
      <c r="V365"/>
      <c r="W365"/>
      <c r="X365"/>
      <c r="Y365"/>
      <c r="Z365"/>
      <c r="AA365"/>
      <c r="AB365" s="472"/>
      <c r="AF365" s="131"/>
      <c r="AI365" s="78"/>
      <c r="AJ365" s="78"/>
      <c r="AK365" s="78"/>
      <c r="AL365" s="78"/>
      <c r="AM365" s="78"/>
    </row>
    <row r="366" spans="2:39" ht="10.4" hidden="1" customHeight="1">
      <c r="B366" s="1957"/>
      <c r="C366" s="1957"/>
      <c r="D366" s="1957"/>
      <c r="E366" s="1957"/>
      <c r="F366" s="1957"/>
      <c r="G366" s="1957"/>
      <c r="H366" s="1957"/>
      <c r="I366" s="1957"/>
      <c r="J366" s="1957"/>
      <c r="K366" s="1957"/>
      <c r="L366" s="131"/>
      <c r="M366" s="78"/>
      <c r="V366" s="1270"/>
      <c r="W366" s="1270"/>
      <c r="X366"/>
      <c r="Y366" s="1271"/>
      <c r="Z366" s="1271"/>
      <c r="AA366"/>
      <c r="AB366" s="1974"/>
      <c r="AC366" s="1974"/>
      <c r="AD366" s="1974"/>
      <c r="AE366" s="78"/>
      <c r="AF366" s="131"/>
      <c r="AG366" s="78"/>
      <c r="AH366" s="78"/>
      <c r="AI366" s="78"/>
      <c r="AJ366" s="78"/>
      <c r="AK366" s="78"/>
      <c r="AL366" s="78"/>
      <c r="AM366" s="78"/>
    </row>
    <row r="367" spans="2:39" ht="2.15" hidden="1" customHeight="1">
      <c r="B367" s="1957"/>
      <c r="C367" s="1957"/>
      <c r="D367" s="1957"/>
      <c r="E367" s="1957"/>
      <c r="F367" s="1957"/>
      <c r="G367" s="1957"/>
      <c r="H367" s="1957"/>
      <c r="I367" s="1957"/>
      <c r="J367" s="1957"/>
      <c r="K367" s="1957"/>
      <c r="L367" s="131"/>
      <c r="M367" s="78"/>
      <c r="V367" s="11"/>
      <c r="X367" s="78"/>
      <c r="Y367" s="78"/>
      <c r="Z367" s="78"/>
      <c r="AA367" s="78"/>
      <c r="AB367" s="472"/>
      <c r="AE367" s="78"/>
      <c r="AF367" s="131"/>
      <c r="AG367" s="78"/>
      <c r="AH367" s="78"/>
      <c r="AI367" s="78"/>
      <c r="AJ367" s="78"/>
      <c r="AK367" s="78"/>
      <c r="AL367" s="78"/>
      <c r="AM367" s="78"/>
    </row>
    <row r="368" spans="2:39" ht="10.4" hidden="1" customHeight="1">
      <c r="B368" s="1957"/>
      <c r="C368" s="1957"/>
      <c r="D368" s="1957"/>
      <c r="E368" s="1957"/>
      <c r="F368" s="1957"/>
      <c r="G368" s="1957"/>
      <c r="H368" s="1957"/>
      <c r="I368" s="1957"/>
      <c r="J368" s="1957"/>
      <c r="K368" s="1957"/>
      <c r="L368" s="131"/>
      <c r="Q368" s="232"/>
      <c r="R368" s="233"/>
      <c r="S368" s="232"/>
      <c r="T368" s="232"/>
      <c r="X368" s="234"/>
      <c r="Y368" s="234"/>
      <c r="Z368" s="234"/>
      <c r="AA368" s="232"/>
      <c r="AB368" s="1975"/>
      <c r="AC368" s="1975"/>
      <c r="AD368" s="1975"/>
      <c r="AE368" s="232"/>
      <c r="AF368" s="131"/>
      <c r="AG368" s="232"/>
      <c r="AH368" s="232"/>
      <c r="AI368"/>
      <c r="AJ368"/>
      <c r="AK368"/>
      <c r="AL368"/>
      <c r="AM368"/>
    </row>
    <row r="369" spans="1:39" ht="10.4" hidden="1" customHeight="1">
      <c r="B369" s="232"/>
      <c r="C369" s="232"/>
      <c r="D369" s="233"/>
      <c r="E369" s="232"/>
      <c r="H369" s="474"/>
      <c r="I369" s="234"/>
      <c r="J369" s="234"/>
      <c r="K369" s="473"/>
      <c r="L369" s="473"/>
      <c r="Q369" s="232"/>
      <c r="R369" s="233"/>
      <c r="S369" s="232"/>
      <c r="T369" s="232"/>
      <c r="U369" s="1235"/>
      <c r="V369" s="1235"/>
      <c r="W369" s="1235"/>
      <c r="X369" s="1235"/>
      <c r="Y369" s="1235"/>
      <c r="Z369" s="1235"/>
      <c r="AA369" s="1235"/>
      <c r="AB369" s="1235"/>
      <c r="AC369" s="1235"/>
      <c r="AD369" s="1235"/>
      <c r="AE369" s="232"/>
      <c r="AF369" s="232"/>
      <c r="AG369" s="232"/>
      <c r="AH369" s="232"/>
      <c r="AI369"/>
      <c r="AJ369"/>
      <c r="AK369"/>
      <c r="AL369"/>
      <c r="AM369"/>
    </row>
    <row r="370" spans="1:39" ht="10" hidden="1" customHeight="1">
      <c r="B370" s="1956" t="str">
        <f>Text!C$403</f>
        <v>Klima-Check</v>
      </c>
      <c r="C370" s="1956"/>
      <c r="D370" s="1956"/>
      <c r="E370" s="1956"/>
      <c r="F370" s="1956"/>
      <c r="G370" s="1956"/>
      <c r="H370" s="1956"/>
      <c r="I370" s="1956"/>
      <c r="J370" s="1956"/>
      <c r="K370" s="1956"/>
      <c r="M370" s="1957"/>
      <c r="N370" s="1957"/>
      <c r="O370" s="1957"/>
      <c r="Q370" s="1854"/>
      <c r="R370" s="1854"/>
      <c r="S370" s="14"/>
      <c r="T370" s="14"/>
      <c r="U370" s="1235"/>
      <c r="V370" s="1235"/>
      <c r="W370" s="1235"/>
      <c r="X370" s="1235"/>
      <c r="Y370" s="1235"/>
      <c r="Z370" s="1235"/>
      <c r="AA370" s="1235"/>
      <c r="AB370" s="1235"/>
      <c r="AC370" s="1235"/>
      <c r="AD370" s="1235"/>
      <c r="AE370" s="1235"/>
      <c r="AF370" s="1235"/>
      <c r="AG370" s="1235"/>
      <c r="AI370"/>
      <c r="AJ370"/>
      <c r="AK370"/>
      <c r="AL370"/>
      <c r="AM370"/>
    </row>
    <row r="371" spans="1:39" ht="15" hidden="1" customHeight="1">
      <c r="B371" s="1956"/>
      <c r="C371" s="1956"/>
      <c r="D371" s="1956"/>
      <c r="E371" s="1956"/>
      <c r="F371" s="1956"/>
      <c r="G371" s="1956"/>
      <c r="H371" s="1956"/>
      <c r="I371" s="1956"/>
      <c r="J371" s="1956"/>
      <c r="K371" s="1956"/>
      <c r="M371" s="1957"/>
      <c r="N371" s="1957"/>
      <c r="O371" s="1957"/>
      <c r="Q371" s="1854"/>
      <c r="R371" s="1854"/>
      <c r="U371" s="1235"/>
      <c r="V371" s="1235"/>
      <c r="W371" s="1235"/>
      <c r="X371" s="1235"/>
      <c r="Y371" s="1235"/>
      <c r="Z371" s="1235"/>
      <c r="AA371" s="1235"/>
      <c r="AB371" s="1235"/>
      <c r="AC371" s="1235"/>
      <c r="AD371" s="1235"/>
      <c r="AE371" s="1235"/>
      <c r="AF371" s="1235"/>
      <c r="AG371" s="1235"/>
    </row>
    <row r="372" spans="1:39" ht="7" hidden="1" customHeight="1">
      <c r="B372" s="1956"/>
      <c r="C372" s="1956"/>
      <c r="D372" s="1956"/>
      <c r="E372" s="1956"/>
      <c r="F372" s="1956"/>
      <c r="G372" s="1956"/>
      <c r="H372" s="1956"/>
      <c r="I372" s="1956"/>
      <c r="J372" s="1956"/>
      <c r="K372" s="1956"/>
      <c r="M372" s="1957"/>
      <c r="N372" s="1957"/>
      <c r="O372" s="1957"/>
      <c r="Q372" s="1854"/>
      <c r="R372" s="1854"/>
      <c r="U372" s="1235"/>
      <c r="V372" s="1235"/>
      <c r="W372" s="1235"/>
      <c r="X372" s="1235"/>
      <c r="Y372" s="1235"/>
      <c r="Z372" s="1235"/>
      <c r="AA372" s="1235"/>
      <c r="AB372" s="1235"/>
      <c r="AC372" s="1235"/>
      <c r="AD372" s="1235"/>
      <c r="AE372" s="1235"/>
      <c r="AF372" s="1235"/>
      <c r="AG372" s="1235"/>
    </row>
    <row r="373" spans="1:39" ht="30" hidden="1" customHeight="1">
      <c r="B373" s="1749" t="str">
        <f>Text!AK$23</f>
        <v>Gesellschaft</v>
      </c>
      <c r="C373" s="1749"/>
      <c r="D373" s="1749"/>
      <c r="E373" s="1749"/>
      <c r="F373" s="1250"/>
      <c r="G373" s="1968" t="str">
        <f>Text!C$571</f>
        <v>Im Bereich ''Gesellschaft'' wird ein Erfüllungsgrad von 0% erzielt</v>
      </c>
      <c r="H373" s="1968"/>
      <c r="I373" s="1968"/>
      <c r="J373" s="1968"/>
      <c r="K373" s="1968"/>
      <c r="L373" s="1304"/>
      <c r="M373" s="1745"/>
      <c r="N373" s="1745"/>
      <c r="O373" s="1745"/>
      <c r="Q373" s="1854"/>
      <c r="R373" s="1854"/>
      <c r="S373" s="14"/>
      <c r="T373" s="14"/>
      <c r="U373" s="1538"/>
      <c r="V373" s="1538"/>
      <c r="W373" s="1538"/>
      <c r="X373" s="1538"/>
      <c r="Y373" s="1538"/>
      <c r="Z373" s="1538"/>
      <c r="AA373" s="1453"/>
      <c r="AB373" s="1453"/>
      <c r="AC373" s="1453"/>
      <c r="AD373" s="1453"/>
      <c r="AE373" s="1453"/>
      <c r="AF373" s="1453"/>
      <c r="AG373" s="1453"/>
      <c r="AI373"/>
      <c r="AJ373"/>
      <c r="AK373"/>
      <c r="AL373"/>
      <c r="AM373"/>
    </row>
    <row r="374" spans="1:39" s="4" customFormat="1" ht="2.15" hidden="1" customHeight="1">
      <c r="C374" s="21"/>
      <c r="D374" s="125"/>
      <c r="E374" s="125"/>
      <c r="F374" s="125"/>
      <c r="G374" s="1584"/>
      <c r="H374" s="1584"/>
      <c r="I374" s="1584"/>
      <c r="J374" s="1584"/>
      <c r="K374" s="1584"/>
      <c r="L374" s="993"/>
      <c r="M374" s="993"/>
      <c r="N374" s="993"/>
      <c r="O374" s="993"/>
      <c r="P374" s="125"/>
      <c r="Q374" s="125"/>
      <c r="R374" s="125"/>
      <c r="S374" s="125"/>
      <c r="T374" s="125"/>
      <c r="U374" s="1445"/>
      <c r="V374" s="1445"/>
      <c r="W374" s="1445"/>
      <c r="X374" s="1445"/>
      <c r="Y374" s="1445"/>
      <c r="Z374" s="1445"/>
      <c r="AA374" s="125"/>
      <c r="AB374" s="125"/>
      <c r="AC374" s="125"/>
      <c r="AD374" s="125"/>
      <c r="AE374" s="125"/>
      <c r="AF374" s="125"/>
      <c r="AG374" s="125"/>
      <c r="AH374" s="125"/>
      <c r="AI374" s="125"/>
      <c r="AJ374" s="125"/>
      <c r="AK374" s="125"/>
      <c r="AL374" s="125"/>
    </row>
    <row r="375" spans="1:39" s="240" customFormat="1" ht="30" hidden="1" customHeight="1">
      <c r="A375" s="1"/>
      <c r="B375" s="1853" t="str">
        <f>Text!$AK$38</f>
        <v>Wirtschaft</v>
      </c>
      <c r="C375" s="1853"/>
      <c r="D375" s="1853"/>
      <c r="E375" s="1853"/>
      <c r="F375" s="1252"/>
      <c r="G375" s="1969" t="str">
        <f>Text!C$572</f>
        <v>Im Bereich ''Wirtschaft'' wird ein Erfüllungsgrad von 0% erzielt</v>
      </c>
      <c r="H375" s="1969"/>
      <c r="I375" s="1969"/>
      <c r="J375" s="1969"/>
      <c r="K375" s="1969"/>
      <c r="L375" s="1304"/>
      <c r="M375" s="1745"/>
      <c r="N375" s="1745"/>
      <c r="O375" s="1745"/>
      <c r="P375" s="1"/>
      <c r="Q375" s="1854"/>
      <c r="R375" s="1854"/>
      <c r="S375" s="14"/>
      <c r="T375" s="14"/>
      <c r="U375" s="1538"/>
      <c r="V375" s="1538"/>
      <c r="W375" s="1538"/>
      <c r="X375" s="1538"/>
      <c r="Y375" s="1538"/>
      <c r="Z375" s="1538"/>
      <c r="AA375" s="1453"/>
      <c r="AB375" s="1453"/>
      <c r="AC375" s="1453"/>
      <c r="AD375" s="1453"/>
      <c r="AE375" s="1453"/>
      <c r="AF375" s="1453"/>
      <c r="AG375" s="1453"/>
      <c r="AH375" s="235"/>
      <c r="AI375" s="241"/>
    </row>
    <row r="376" spans="1:39" customFormat="1" ht="2.15" hidden="1" customHeight="1">
      <c r="B376" s="1272"/>
      <c r="C376" s="1272"/>
      <c r="D376" s="1272"/>
      <c r="E376" s="1272"/>
      <c r="F376" s="1273"/>
      <c r="G376" s="1585"/>
      <c r="H376" s="1585"/>
      <c r="I376" s="1585"/>
      <c r="J376" s="1585"/>
      <c r="K376" s="1585"/>
      <c r="M376" s="238"/>
      <c r="N376" s="238"/>
      <c r="O376" s="238"/>
      <c r="Q376" s="1275"/>
      <c r="R376" s="1275"/>
      <c r="S376" s="219"/>
      <c r="T376" s="219"/>
      <c r="U376" s="1452"/>
      <c r="V376" s="1452"/>
      <c r="W376" s="1452"/>
      <c r="X376" s="1452"/>
      <c r="Y376" s="1452"/>
      <c r="Z376" s="1452"/>
      <c r="AA376" s="1453"/>
      <c r="AB376" s="1454"/>
      <c r="AC376" s="1454"/>
      <c r="AD376" s="1454"/>
      <c r="AE376" s="1454"/>
      <c r="AF376" s="1454"/>
      <c r="AG376" s="1455"/>
    </row>
    <row r="377" spans="1:39" ht="30" hidden="1" customHeight="1">
      <c r="B377" s="1891" t="str">
        <f>Text!$AK$46</f>
        <v>Umwelt</v>
      </c>
      <c r="C377" s="1891"/>
      <c r="D377" s="1891"/>
      <c r="E377" s="1891"/>
      <c r="F377" s="1249"/>
      <c r="G377" s="1970" t="str">
        <f>Text!C$573</f>
        <v>Im Bereich ''Umwelt'' wird ein Erfüllungsgrad von 0% erzielt</v>
      </c>
      <c r="H377" s="1970"/>
      <c r="I377" s="1970"/>
      <c r="J377" s="1970"/>
      <c r="K377" s="1970"/>
      <c r="L377" s="1304"/>
      <c r="M377" s="1745"/>
      <c r="N377" s="1745"/>
      <c r="O377" s="1745"/>
      <c r="Q377" s="1854"/>
      <c r="R377" s="1854"/>
      <c r="S377" s="14"/>
      <c r="T377" s="14"/>
      <c r="U377" s="1538"/>
      <c r="V377" s="1538"/>
      <c r="W377" s="1538"/>
      <c r="X377" s="1538"/>
      <c r="Y377" s="1538"/>
      <c r="Z377" s="1538"/>
      <c r="AA377" s="1453"/>
      <c r="AB377" s="1453"/>
      <c r="AC377" s="1453"/>
      <c r="AD377" s="1453"/>
      <c r="AE377" s="1453"/>
      <c r="AF377" s="1453"/>
      <c r="AG377" s="1453"/>
    </row>
    <row r="378" spans="1:39" customFormat="1" ht="2.15" hidden="1" customHeight="1">
      <c r="B378" s="1272"/>
      <c r="C378" s="1272"/>
      <c r="D378" s="1272"/>
      <c r="E378" s="1272"/>
      <c r="F378" s="1273"/>
      <c r="G378" s="1585"/>
      <c r="H378" s="1585"/>
      <c r="I378" s="1585"/>
      <c r="J378" s="1585"/>
      <c r="K378" s="1585"/>
      <c r="M378" s="238"/>
      <c r="N378" s="238"/>
      <c r="O378" s="238"/>
      <c r="Q378" s="1275"/>
      <c r="R378" s="1275"/>
      <c r="S378" s="219"/>
      <c r="T378" s="219"/>
      <c r="U378" s="1452"/>
      <c r="V378" s="1452"/>
      <c r="W378" s="1452"/>
      <c r="X378" s="1452"/>
      <c r="Y378" s="1452"/>
      <c r="Z378" s="1452"/>
      <c r="AA378" s="1453"/>
      <c r="AB378" s="1454"/>
      <c r="AC378" s="1454"/>
      <c r="AD378" s="1454"/>
      <c r="AE378" s="1454"/>
      <c r="AF378" s="1454"/>
      <c r="AG378" s="1455"/>
    </row>
    <row r="379" spans="1:39" ht="31" hidden="1" customHeight="1">
      <c r="B379" s="1893" t="str">
        <f>Text!$C$590</f>
        <v>Gesamtnote</v>
      </c>
      <c r="C379" s="1893"/>
      <c r="D379" s="1893"/>
      <c r="E379" s="1893"/>
      <c r="F379" s="1277"/>
      <c r="G379" s="1961" t="str">
        <f>Text!C$579</f>
        <v>Das Projekt wurde als 0 % nachhaltig beim Klima-Check bewertet</v>
      </c>
      <c r="H379" s="1961"/>
      <c r="I379" s="1961"/>
      <c r="J379" s="1961"/>
      <c r="K379" s="1961"/>
      <c r="L379" s="1304"/>
      <c r="Q379" s="1854"/>
      <c r="R379" s="1854"/>
      <c r="S379" s="14"/>
      <c r="T379" s="14"/>
      <c r="U379" s="1538"/>
      <c r="V379" s="1538"/>
      <c r="W379" s="1538"/>
      <c r="X379" s="1538"/>
      <c r="Y379" s="1538"/>
      <c r="Z379" s="1538"/>
      <c r="AA379" s="1453"/>
      <c r="AB379" s="1453"/>
      <c r="AC379" s="1453"/>
      <c r="AD379" s="1453"/>
      <c r="AE379" s="1453"/>
      <c r="AF379" s="1453"/>
      <c r="AG379" s="1453"/>
    </row>
    <row r="380" spans="1:39" customFormat="1" ht="10" hidden="1" customHeight="1">
      <c r="B380" s="1272"/>
      <c r="C380" s="1272"/>
      <c r="D380" s="1272"/>
      <c r="E380" s="1272"/>
      <c r="F380" s="1273"/>
      <c r="G380" s="1274"/>
      <c r="H380" s="1274"/>
      <c r="I380" s="1274"/>
      <c r="J380" s="1274"/>
      <c r="K380" s="1274"/>
      <c r="M380" s="238"/>
      <c r="N380" s="238"/>
      <c r="O380" s="238"/>
      <c r="Q380" s="1275"/>
      <c r="R380" s="1275"/>
      <c r="S380" s="219"/>
      <c r="T380" s="219"/>
      <c r="U380" s="1274"/>
      <c r="V380" s="1274"/>
      <c r="W380" s="1274"/>
      <c r="X380" s="1274"/>
      <c r="Y380" s="1274"/>
      <c r="Z380" s="1274"/>
      <c r="AA380" s="1273"/>
      <c r="AB380" s="1272"/>
      <c r="AC380" s="1272"/>
      <c r="AD380" s="1272"/>
      <c r="AE380" s="1272"/>
      <c r="AF380" s="1272"/>
      <c r="AG380" s="1276"/>
    </row>
    <row r="381" spans="1:39" s="244" customFormat="1" ht="37.5" hidden="1" customHeight="1">
      <c r="A381" s="44"/>
      <c r="B381" s="44"/>
      <c r="C381" s="44"/>
      <c r="D381" s="1253" t="str">
        <f>Text!C$585</f>
        <v>Anmerkungen:</v>
      </c>
      <c r="E381" s="1253"/>
      <c r="F381" s="1253"/>
      <c r="G381" s="1253"/>
      <c r="H381" s="1253"/>
      <c r="I381" s="1253"/>
      <c r="J381" s="1253"/>
      <c r="K381" s="1253"/>
      <c r="L381" s="1253"/>
      <c r="M381" s="1253"/>
      <c r="N381" s="1253"/>
      <c r="O381" s="1784"/>
      <c r="P381" s="1784"/>
      <c r="Q381" s="1784"/>
      <c r="R381" s="1784"/>
      <c r="S381" s="1784"/>
      <c r="T381" s="1784"/>
      <c r="U381" s="1784"/>
      <c r="V381" s="1784"/>
      <c r="W381" s="1784"/>
      <c r="X381" s="1784"/>
      <c r="Y381" s="1784"/>
      <c r="Z381" s="1784"/>
      <c r="AA381" s="1784"/>
      <c r="AB381" s="1784"/>
      <c r="AC381" s="1784"/>
      <c r="AD381" s="1784"/>
      <c r="AE381" s="1784"/>
      <c r="AF381" s="1784"/>
      <c r="AG381" s="159"/>
      <c r="AH381" s="1254"/>
      <c r="AI381" s="1254"/>
      <c r="AJ381" s="1254"/>
      <c r="AK381" s="1254"/>
      <c r="AL381" s="1254"/>
    </row>
    <row r="382" spans="1:39" s="244" customFormat="1" ht="20.149999999999999" hidden="1" customHeight="1">
      <c r="A382" s="44"/>
      <c r="B382" s="44"/>
      <c r="C382" s="44"/>
      <c r="D382" s="476"/>
      <c r="E382" s="476"/>
      <c r="F382" s="476"/>
      <c r="G382" s="476"/>
      <c r="H382" s="476"/>
      <c r="I382" s="476"/>
      <c r="J382" s="476"/>
      <c r="K382" s="476"/>
      <c r="L382" s="476"/>
      <c r="M382" s="476"/>
      <c r="N382" s="48"/>
      <c r="AG382" s="1254"/>
      <c r="AH382" s="1254"/>
      <c r="AI382" s="1254"/>
      <c r="AJ382" s="1254"/>
      <c r="AK382" s="1254"/>
      <c r="AL382" s="1254"/>
    </row>
    <row r="383" spans="1:39" ht="14.5" hidden="1" customHeight="1">
      <c r="D383" s="476"/>
      <c r="E383" s="476"/>
      <c r="F383" s="476"/>
      <c r="G383" s="476"/>
      <c r="H383" s="476"/>
      <c r="I383" s="476"/>
      <c r="J383" s="476"/>
      <c r="K383" s="476"/>
      <c r="L383" s="476"/>
      <c r="M383" s="476"/>
      <c r="O383" s="1788" t="str">
        <f>Text!$C$586&amp;" "&amp;Text!$C$587&amp;"https://www.nnbs.ch/instrumente-und-hilfsmittel"</f>
        <v>Eine Erklärung zum Bewertungsmechanismus im Pre-Check findet sich in der Einleitung. Sie können über das Popup-Menü im Fensterreiter dorthin gelangen. Weitere Details zur SNBS-Bewertung finden sich im offiziellen Kriterienkatalog: https://www.nnbs.ch/instrumente-und-hilfsmittel</v>
      </c>
      <c r="P383" s="1788"/>
      <c r="Q383" s="1788"/>
      <c r="R383" s="1788"/>
      <c r="S383" s="1788"/>
      <c r="T383" s="1788"/>
      <c r="U383" s="1788"/>
      <c r="V383" s="1788"/>
      <c r="W383" s="1788"/>
      <c r="X383" s="1788"/>
      <c r="Y383" s="1788"/>
      <c r="Z383" s="1788"/>
      <c r="AA383" s="1788"/>
      <c r="AB383" s="1788"/>
      <c r="AC383" s="1788"/>
      <c r="AD383" s="1788"/>
      <c r="AE383" s="1788"/>
      <c r="AF383" s="1788"/>
      <c r="AG383" s="1254"/>
      <c r="AH383" s="1254"/>
      <c r="AI383" s="1254"/>
      <c r="AJ383" s="1254"/>
      <c r="AK383" s="1254"/>
      <c r="AL383" s="1254"/>
    </row>
    <row r="384" spans="1:39" hidden="1">
      <c r="D384" s="476"/>
      <c r="E384" s="476"/>
      <c r="F384" s="476"/>
      <c r="G384" s="476"/>
      <c r="H384" s="476"/>
      <c r="I384" s="476"/>
      <c r="J384" s="476"/>
      <c r="K384" s="476"/>
      <c r="L384" s="476"/>
      <c r="M384" s="476"/>
      <c r="O384" s="1788"/>
      <c r="P384" s="1788"/>
      <c r="Q384" s="1788"/>
      <c r="R384" s="1788"/>
      <c r="S384" s="1788"/>
      <c r="T384" s="1788"/>
      <c r="U384" s="1788"/>
      <c r="V384" s="1788"/>
      <c r="W384" s="1788"/>
      <c r="X384" s="1788"/>
      <c r="Y384" s="1788"/>
      <c r="Z384" s="1788"/>
      <c r="AA384" s="1788"/>
      <c r="AB384" s="1788"/>
      <c r="AC384" s="1788"/>
      <c r="AD384" s="1788"/>
      <c r="AE384" s="1788"/>
      <c r="AF384" s="1788"/>
    </row>
    <row r="385" spans="4:32" hidden="1">
      <c r="D385" s="476"/>
      <c r="E385" s="476"/>
      <c r="F385" s="476"/>
      <c r="G385" s="476"/>
      <c r="H385" s="476"/>
      <c r="I385" s="476"/>
      <c r="J385" s="476"/>
      <c r="K385" s="476"/>
      <c r="L385" s="476"/>
      <c r="M385" s="476"/>
      <c r="AA385" s="1"/>
    </row>
    <row r="386" spans="4:32" ht="14.5" hidden="1" customHeight="1">
      <c r="D386" s="476"/>
      <c r="E386" s="476"/>
      <c r="F386" s="476"/>
      <c r="G386" s="476"/>
      <c r="H386" s="476"/>
      <c r="I386" s="476"/>
      <c r="J386" s="476"/>
      <c r="K386" s="476"/>
      <c r="L386" s="476"/>
      <c r="M386" s="476"/>
      <c r="O386" s="1728" t="str">
        <f>Text!$C$574</f>
        <v>Bei Erneuerungen dürften im Rahmen einer SNBS-Zertifizierung folgende Kriterien eine ungenügende Bewertung aufweisen, solange die Durchschnittsbenotung im übergeordneten Thema genügend bleibt:</v>
      </c>
      <c r="P386" s="1728"/>
      <c r="Q386" s="1728"/>
      <c r="R386" s="1728"/>
      <c r="S386" s="1728"/>
      <c r="T386" s="1728"/>
      <c r="U386" s="1728"/>
      <c r="V386" s="1728"/>
      <c r="W386" s="1728"/>
      <c r="X386" s="1728"/>
      <c r="Y386" s="1728"/>
      <c r="Z386" s="1728"/>
      <c r="AA386" s="1728"/>
      <c r="AB386" s="1728"/>
      <c r="AC386" s="1728"/>
      <c r="AD386" s="1728"/>
      <c r="AE386" s="1728"/>
      <c r="AF386" s="1728"/>
    </row>
    <row r="387" spans="4:32" ht="15" hidden="1" thickBot="1">
      <c r="D387" s="476"/>
      <c r="E387" s="476"/>
      <c r="F387" s="476"/>
      <c r="G387" s="476"/>
      <c r="H387" s="476"/>
      <c r="I387" s="476"/>
      <c r="J387" s="476"/>
      <c r="K387" s="476"/>
      <c r="L387" s="476"/>
      <c r="M387" s="476"/>
      <c r="O387" s="1728"/>
      <c r="P387" s="1728"/>
      <c r="Q387" s="1728"/>
      <c r="R387" s="1728"/>
      <c r="S387" s="1728"/>
      <c r="T387" s="1728"/>
      <c r="U387" s="1728"/>
      <c r="V387" s="1728"/>
      <c r="W387" s="1728"/>
      <c r="X387" s="1728"/>
      <c r="Y387" s="1728"/>
      <c r="Z387" s="1728"/>
      <c r="AA387" s="1728"/>
      <c r="AB387" s="1728"/>
      <c r="AC387" s="1728"/>
      <c r="AD387" s="1728"/>
      <c r="AE387" s="1728"/>
      <c r="AF387" s="1728"/>
    </row>
    <row r="388" spans="4:32" ht="15" hidden="1" thickBot="1">
      <c r="D388" s="476"/>
      <c r="E388" s="476"/>
      <c r="F388" s="476"/>
      <c r="G388" s="476"/>
      <c r="H388" s="476"/>
      <c r="I388" s="476"/>
      <c r="J388" s="476"/>
      <c r="K388" s="476"/>
      <c r="L388" s="476"/>
      <c r="M388" s="476"/>
      <c r="O388" s="1962" t="str">
        <f>Text!$AQ$34&amp;" "&amp;Text!$AR$34</f>
        <v>145 Winterlicher Wärmeschutz</v>
      </c>
      <c r="P388" s="1962"/>
      <c r="Q388" s="1266"/>
      <c r="R388" s="1963" t="str">
        <f>Text!$AQ$42&amp;" "&amp;Text!$AR$42</f>
        <v>222 Nutzungsdichte</v>
      </c>
      <c r="S388" s="1964"/>
      <c r="T388" s="1964"/>
      <c r="U388" s="1965"/>
      <c r="AA388" s="1"/>
    </row>
    <row r="389" spans="4:32" ht="14.5" hidden="1" customHeight="1" thickBot="1">
      <c r="D389" s="476"/>
      <c r="E389" s="476"/>
      <c r="F389" s="476"/>
      <c r="G389" s="476"/>
      <c r="H389" s="476"/>
      <c r="I389" s="476"/>
      <c r="J389" s="476"/>
      <c r="K389" s="476"/>
      <c r="L389" s="476"/>
      <c r="M389" s="476"/>
      <c r="O389" s="1966" t="str">
        <f>Text!$AQ$36&amp;" "&amp;Text!$AR$36</f>
        <v>147 Schallschutz</v>
      </c>
      <c r="P389" s="1967"/>
      <c r="Q389" s="1266"/>
      <c r="R389" s="1963" t="str">
        <f>Text!$AQ$43&amp;" "&amp;Text!$AR$43</f>
        <v>223 Nutzungsflexibilität &amp; -variabilität</v>
      </c>
      <c r="S389" s="1964"/>
      <c r="T389" s="1964"/>
      <c r="U389" s="1965"/>
      <c r="AA389" s="1"/>
    </row>
    <row r="390" spans="4:32" hidden="1">
      <c r="D390" s="476"/>
      <c r="E390" s="476"/>
      <c r="F390" s="476"/>
      <c r="G390" s="476"/>
      <c r="H390" s="476"/>
      <c r="I390" s="476"/>
      <c r="J390" s="476"/>
      <c r="K390" s="476"/>
      <c r="L390" s="476"/>
      <c r="M390" s="476"/>
      <c r="AA390" s="1"/>
    </row>
    <row r="391" spans="4:32" hidden="1">
      <c r="D391" s="476"/>
      <c r="E391" s="476"/>
      <c r="F391" s="476"/>
      <c r="G391" s="476"/>
      <c r="H391" s="476"/>
      <c r="I391" s="476"/>
      <c r="J391" s="476"/>
      <c r="K391" s="476"/>
      <c r="L391" s="476"/>
      <c r="M391" s="476"/>
      <c r="O391" s="1788" t="str">
        <f>Text!$C$588</f>
        <v>Wir danken Ihnen für die Benutzung des Pre-Checks 2023.1 Hochbau und hoffen, Sie bei der Realisierung eines rundum nachhaltigen Projekts unterstützen zu können.
Um Rückmeldungen und Hinweise zur Verbesserung des Pre-Check (info@nnbs.ch) sind wir stets dankbar.</v>
      </c>
      <c r="P391" s="1788"/>
      <c r="Q391" s="1788"/>
      <c r="R391" s="1788"/>
      <c r="S391" s="1788"/>
      <c r="T391" s="1788"/>
      <c r="U391" s="1788"/>
      <c r="V391" s="1788"/>
      <c r="W391" s="1788"/>
      <c r="X391" s="1788"/>
      <c r="Y391" s="1788"/>
      <c r="Z391" s="1788"/>
      <c r="AA391" s="1788"/>
      <c r="AB391" s="1788"/>
      <c r="AC391" s="1788"/>
      <c r="AD391" s="1788"/>
      <c r="AE391" s="1788"/>
      <c r="AF391" s="1788"/>
    </row>
    <row r="392" spans="4:32" hidden="1">
      <c r="D392" s="476"/>
      <c r="E392" s="476"/>
      <c r="F392" s="476"/>
      <c r="G392" s="476"/>
      <c r="H392" s="476"/>
      <c r="I392" s="476"/>
      <c r="J392" s="476"/>
      <c r="K392" s="476"/>
      <c r="L392" s="476"/>
      <c r="M392" s="476"/>
      <c r="O392" s="1788"/>
      <c r="P392" s="1788"/>
      <c r="Q392" s="1788"/>
      <c r="R392" s="1788"/>
      <c r="S392" s="1788"/>
      <c r="T392" s="1788"/>
      <c r="U392" s="1788"/>
      <c r="V392" s="1788"/>
      <c r="W392" s="1788"/>
      <c r="X392" s="1788"/>
      <c r="Y392" s="1788"/>
      <c r="Z392" s="1788"/>
      <c r="AA392" s="1788"/>
      <c r="AB392" s="1788"/>
      <c r="AC392" s="1788"/>
      <c r="AD392" s="1788"/>
      <c r="AE392" s="1788"/>
      <c r="AF392" s="1788"/>
    </row>
    <row r="393" spans="4:32" hidden="1">
      <c r="D393" s="476"/>
      <c r="E393" s="476"/>
      <c r="F393" s="476"/>
      <c r="G393" s="476"/>
      <c r="H393" s="476"/>
      <c r="I393" s="476"/>
      <c r="J393" s="476"/>
      <c r="K393" s="476"/>
      <c r="L393" s="476"/>
      <c r="M393" s="476"/>
      <c r="O393" s="1788"/>
      <c r="P393" s="1788"/>
      <c r="Q393" s="1788"/>
      <c r="R393" s="1788"/>
      <c r="S393" s="1788"/>
      <c r="T393" s="1788"/>
      <c r="U393" s="1788"/>
      <c r="V393" s="1788"/>
      <c r="W393" s="1788"/>
      <c r="X393" s="1788"/>
      <c r="Y393" s="1788"/>
      <c r="Z393" s="1788"/>
      <c r="AA393" s="1788"/>
      <c r="AB393" s="1788"/>
      <c r="AC393" s="1788"/>
      <c r="AD393" s="1788"/>
      <c r="AE393" s="1788"/>
      <c r="AF393" s="1788"/>
    </row>
    <row r="394" spans="4:32" hidden="1">
      <c r="D394" s="476"/>
      <c r="E394" s="476"/>
      <c r="F394" s="476"/>
      <c r="G394" s="476"/>
      <c r="H394" s="476"/>
      <c r="I394" s="476"/>
      <c r="J394" s="476"/>
      <c r="K394" s="476"/>
      <c r="L394" s="476"/>
      <c r="M394" s="476"/>
    </row>
    <row r="395" spans="4:32" ht="14.5" hidden="1" customHeight="1">
      <c r="D395" s="476"/>
      <c r="E395" s="476"/>
      <c r="F395" s="476"/>
      <c r="G395" s="476"/>
      <c r="H395" s="476"/>
      <c r="I395" s="476"/>
      <c r="J395" s="476"/>
      <c r="K395" s="476"/>
      <c r="L395" s="476"/>
      <c r="M395" s="476"/>
      <c r="O395" s="1784" t="str">
        <f>Text!$C$589</f>
        <v>Der Pre-Check liefert nur eine Abschätzung des Nachhaltigkeitsgrads eines Bauvorhabens und garantiert keine Zertifizierung des untersuchten Objekts. Im Einzelfall kann trotz gesamtheitlich gutem Pre-Check-Ergebnis eine Zertifizierung nicht möglich werden.
Es ist Benutzenden ausdrücklich untersagt, Ergebnisse aus dem Pre-Check für Werbezwecke (etwa in Verkaufsinformationen) zu verwenden.</v>
      </c>
      <c r="P395" s="1784"/>
      <c r="Q395" s="1784"/>
      <c r="R395" s="1784"/>
      <c r="S395" s="1784"/>
      <c r="T395" s="1784"/>
      <c r="U395" s="1784"/>
      <c r="V395" s="1784"/>
      <c r="W395" s="1784"/>
      <c r="X395" s="1784"/>
      <c r="Y395" s="1784"/>
      <c r="Z395" s="1784"/>
      <c r="AA395" s="1784"/>
      <c r="AB395" s="1784"/>
      <c r="AC395" s="1784"/>
      <c r="AD395" s="1784"/>
      <c r="AE395" s="1784"/>
      <c r="AF395" s="1784"/>
    </row>
    <row r="396" spans="4:32" hidden="1">
      <c r="D396" s="476"/>
      <c r="E396" s="476"/>
      <c r="F396" s="476"/>
      <c r="G396" s="476"/>
      <c r="H396" s="476"/>
      <c r="I396" s="476"/>
      <c r="J396" s="476"/>
      <c r="K396" s="476"/>
      <c r="L396" s="476"/>
      <c r="M396" s="476"/>
      <c r="O396" s="1784"/>
      <c r="P396" s="1784"/>
      <c r="Q396" s="1784"/>
      <c r="R396" s="1784"/>
      <c r="S396" s="1784"/>
      <c r="T396" s="1784"/>
      <c r="U396" s="1784"/>
      <c r="V396" s="1784"/>
      <c r="W396" s="1784"/>
      <c r="X396" s="1784"/>
      <c r="Y396" s="1784"/>
      <c r="Z396" s="1784"/>
      <c r="AA396" s="1784"/>
      <c r="AB396" s="1784"/>
      <c r="AC396" s="1784"/>
      <c r="AD396" s="1784"/>
      <c r="AE396" s="1784"/>
      <c r="AF396" s="1784"/>
    </row>
    <row r="397" spans="4:32" hidden="1">
      <c r="D397" s="476"/>
      <c r="E397" s="476"/>
      <c r="F397" s="476"/>
      <c r="G397" s="476"/>
      <c r="H397" s="476"/>
      <c r="I397" s="476"/>
      <c r="J397" s="476"/>
      <c r="K397" s="476"/>
      <c r="L397" s="476"/>
      <c r="M397" s="476"/>
      <c r="O397" s="1784"/>
      <c r="P397" s="1784"/>
      <c r="Q397" s="1784"/>
      <c r="R397" s="1784"/>
      <c r="S397" s="1784"/>
      <c r="T397" s="1784"/>
      <c r="U397" s="1784"/>
      <c r="V397" s="1784"/>
      <c r="W397" s="1784"/>
      <c r="X397" s="1784"/>
      <c r="Y397" s="1784"/>
      <c r="Z397" s="1784"/>
      <c r="AA397" s="1784"/>
      <c r="AB397" s="1784"/>
      <c r="AC397" s="1784"/>
      <c r="AD397" s="1784"/>
      <c r="AE397" s="1784"/>
      <c r="AF397" s="1784"/>
    </row>
    <row r="398" spans="4:32" hidden="1">
      <c r="D398" s="476"/>
      <c r="E398" s="476"/>
      <c r="F398" s="476"/>
      <c r="G398" s="476"/>
      <c r="H398" s="476"/>
      <c r="I398" s="476"/>
      <c r="J398" s="476"/>
      <c r="K398" s="476"/>
      <c r="L398" s="476"/>
      <c r="M398" s="476"/>
      <c r="O398" s="1784"/>
      <c r="P398" s="1784"/>
      <c r="Q398" s="1784"/>
      <c r="R398" s="1784"/>
      <c r="S398" s="1784"/>
      <c r="T398" s="1784"/>
      <c r="U398" s="1784"/>
      <c r="V398" s="1784"/>
      <c r="W398" s="1784"/>
      <c r="X398" s="1784"/>
      <c r="Y398" s="1784"/>
      <c r="Z398" s="1784"/>
      <c r="AA398" s="1784"/>
      <c r="AB398" s="1784"/>
      <c r="AC398" s="1784"/>
      <c r="AD398" s="1784"/>
      <c r="AE398" s="1784"/>
      <c r="AF398" s="1784"/>
    </row>
    <row r="399" spans="4:32" hidden="1">
      <c r="D399" s="48"/>
      <c r="E399" s="48"/>
      <c r="F399" s="48"/>
      <c r="G399" s="48"/>
      <c r="H399" s="48"/>
      <c r="I399" s="48"/>
      <c r="J399" s="48"/>
      <c r="K399" s="48"/>
      <c r="L399" s="48"/>
      <c r="M399" s="48"/>
      <c r="O399" s="1784"/>
      <c r="P399" s="1784"/>
      <c r="Q399" s="1784"/>
      <c r="R399" s="1784"/>
      <c r="S399" s="1784"/>
      <c r="T399" s="1784"/>
      <c r="U399" s="1784"/>
      <c r="V399" s="1784"/>
      <c r="W399" s="1784"/>
      <c r="X399" s="1784"/>
      <c r="Y399" s="1784"/>
      <c r="Z399" s="1784"/>
      <c r="AA399" s="1784"/>
      <c r="AB399" s="1784"/>
      <c r="AC399" s="1784"/>
      <c r="AD399" s="1784"/>
      <c r="AE399" s="1784"/>
      <c r="AF399" s="1784"/>
    </row>
    <row r="400" spans="4:32" hidden="1">
      <c r="D400" s="48"/>
      <c r="E400" s="48"/>
      <c r="F400" s="48"/>
      <c r="G400" s="48"/>
      <c r="H400" s="48"/>
      <c r="I400" s="48"/>
      <c r="J400" s="48"/>
      <c r="K400" s="48"/>
      <c r="L400" s="48"/>
      <c r="M400" s="48"/>
      <c r="O400" s="1248"/>
      <c r="P400" s="1248"/>
      <c r="Q400" s="1248"/>
      <c r="R400" s="1248"/>
      <c r="S400" s="1248"/>
      <c r="T400" s="1248"/>
      <c r="U400" s="1248"/>
      <c r="V400" s="1248"/>
      <c r="W400" s="1248"/>
      <c r="X400" s="1248"/>
      <c r="Y400" s="1248"/>
      <c r="Z400" s="1248"/>
      <c r="AA400" s="1248"/>
      <c r="AB400" s="1248"/>
      <c r="AC400" s="1248"/>
      <c r="AD400" s="1248"/>
      <c r="AE400" s="1248"/>
      <c r="AF400" s="1248"/>
    </row>
    <row r="401" spans="4:32" hidden="1">
      <c r="D401" s="48"/>
      <c r="E401" s="48"/>
      <c r="F401" s="48"/>
      <c r="G401" s="48"/>
      <c r="H401" s="48"/>
      <c r="I401" s="48"/>
      <c r="J401" s="48"/>
      <c r="K401" s="48"/>
      <c r="L401" s="48"/>
      <c r="M401" s="48"/>
      <c r="O401" s="1248"/>
      <c r="P401" s="1248"/>
      <c r="Q401" s="1248"/>
      <c r="R401" s="1248"/>
      <c r="S401" s="1248"/>
      <c r="T401" s="1248"/>
      <c r="U401" s="1248"/>
      <c r="V401" s="1248"/>
      <c r="W401" s="1248"/>
      <c r="X401" s="1248"/>
      <c r="Z401" s="1248"/>
      <c r="AA401" s="1248"/>
      <c r="AB401" s="1248"/>
      <c r="AC401" s="1248"/>
      <c r="AD401" s="1248"/>
      <c r="AE401" s="1248"/>
      <c r="AF401" s="1248"/>
    </row>
    <row r="402" spans="4:32" ht="14.15" hidden="1" customHeight="1">
      <c r="D402" s="48"/>
      <c r="E402" s="48"/>
      <c r="F402" s="48"/>
      <c r="G402" s="48"/>
      <c r="H402" s="48"/>
      <c r="I402" s="48"/>
      <c r="J402" s="48"/>
      <c r="K402" s="48"/>
      <c r="L402" s="48"/>
      <c r="M402" s="48"/>
      <c r="O402" s="1248"/>
      <c r="P402" s="1248"/>
      <c r="Q402" s="1248"/>
      <c r="R402" s="1248"/>
      <c r="S402" s="1248"/>
      <c r="T402" s="1248"/>
      <c r="U402" s="1248"/>
      <c r="V402" s="1248"/>
      <c r="W402" s="1248"/>
      <c r="X402" s="1248"/>
      <c r="Y402" s="1248"/>
      <c r="Z402" s="1248"/>
      <c r="AA402" s="1248"/>
      <c r="AB402" s="1248"/>
      <c r="AC402" s="1248"/>
      <c r="AD402" s="1248"/>
      <c r="AE402" s="1248"/>
      <c r="AF402" s="1248"/>
    </row>
    <row r="403" spans="4:32" hidden="1">
      <c r="D403" s="48"/>
      <c r="E403" s="48"/>
      <c r="F403" s="48"/>
      <c r="G403" s="48"/>
      <c r="H403" s="48"/>
      <c r="I403" s="48"/>
      <c r="J403" s="48"/>
      <c r="K403" s="48"/>
      <c r="L403" s="48"/>
      <c r="M403" s="48"/>
      <c r="O403" s="1248"/>
      <c r="P403" s="1248"/>
      <c r="Q403" s="1248"/>
      <c r="R403" s="1248"/>
      <c r="S403" s="1248"/>
      <c r="T403" s="1248"/>
      <c r="U403" s="1248"/>
      <c r="V403" s="1248"/>
      <c r="W403" s="1248"/>
      <c r="X403" s="1248"/>
      <c r="Y403" s="1248"/>
      <c r="Z403" s="1248"/>
      <c r="AA403" s="1248"/>
      <c r="AB403" s="1248"/>
      <c r="AC403" s="1248"/>
      <c r="AD403" s="1248"/>
      <c r="AE403" s="1248"/>
      <c r="AF403" s="1248"/>
    </row>
    <row r="404" spans="4:32" hidden="1">
      <c r="D404" s="48"/>
      <c r="E404" s="48"/>
      <c r="F404" s="48"/>
      <c r="G404" s="48"/>
      <c r="H404" s="48"/>
      <c r="I404" s="48"/>
      <c r="J404" s="48"/>
      <c r="K404" s="48"/>
      <c r="L404" s="48"/>
      <c r="M404" s="48"/>
      <c r="O404" s="1248"/>
      <c r="P404" s="1248"/>
      <c r="Q404" s="1248"/>
      <c r="R404" s="1248"/>
      <c r="S404" s="1248"/>
      <c r="T404" s="1248"/>
      <c r="U404" s="1248"/>
      <c r="V404" s="1248"/>
      <c r="W404" s="1248"/>
      <c r="X404" s="1248"/>
      <c r="Y404" s="1248"/>
      <c r="Z404" s="1248"/>
      <c r="AA404" s="1248"/>
      <c r="AB404" s="1248"/>
      <c r="AC404" s="1248"/>
      <c r="AD404" s="1248"/>
      <c r="AE404" s="1248"/>
      <c r="AF404" s="1248"/>
    </row>
    <row r="405" spans="4:32" hidden="1">
      <c r="H405"/>
    </row>
    <row r="406" spans="4:32" hidden="1"/>
    <row r="407" spans="4:32" hidden="1"/>
    <row r="408" spans="4:32" hidden="1"/>
    <row r="409" spans="4:32" hidden="1"/>
    <row r="410" spans="4:32" hidden="1"/>
    <row r="411" spans="4:32" hidden="1"/>
    <row r="412" spans="4:32" hidden="1"/>
    <row r="413" spans="4:32" hidden="1"/>
    <row r="414" spans="4:32" hidden="1"/>
    <row r="415" spans="4:32" hidden="1"/>
    <row r="416" spans="4:32"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spans="1:36" hidden="1"/>
    <row r="434" spans="1:36" ht="30" hidden="1" customHeight="1">
      <c r="C434" s="1728" t="str">
        <f>IF(Tool!$H$18="Pre-Check","",Text!$C$563)</f>
        <v>Die ungenügende Kriterien sowie die ''Stolpersteine'' werden nachfolgend - auf die jeweiligen Bereiche aufgeteilt - noch spezifisch aufgeführt.</v>
      </c>
      <c r="D434" s="1728"/>
      <c r="E434" s="1728"/>
      <c r="F434" s="1728"/>
      <c r="G434" s="1728"/>
      <c r="H434" s="1728"/>
      <c r="I434" s="1728"/>
      <c r="J434" s="1728"/>
      <c r="K434" s="1728"/>
      <c r="L434" s="1728"/>
      <c r="M434" s="1728"/>
      <c r="N434" s="1728"/>
      <c r="O434" s="1728"/>
      <c r="Q434" s="1767"/>
      <c r="R434" s="1767"/>
      <c r="S434" s="1767"/>
      <c r="T434" s="1767"/>
      <c r="U434" s="1767"/>
      <c r="V434" s="1767"/>
      <c r="W434" s="1767"/>
      <c r="X434" s="1767"/>
      <c r="Y434" s="1767"/>
      <c r="Z434" s="1767"/>
      <c r="AA434" s="1767"/>
      <c r="AB434" s="1767"/>
      <c r="AC434" s="1767"/>
      <c r="AD434" s="1767"/>
      <c r="AE434" s="1767"/>
      <c r="AF434" s="1767"/>
    </row>
    <row r="435" spans="1:36" ht="10.4" hidden="1" customHeight="1">
      <c r="Z435" s="50"/>
      <c r="AA435" s="1"/>
    </row>
    <row r="436" spans="1:36" ht="30" hidden="1" customHeight="1">
      <c r="C436" s="1767" t="str">
        <f>IF(Tool!$H$18="Pre-Check","",Text!$C$564)</f>
        <v>Die folgenden Kriterien werden als "ungenügend" bewertet und erfordern Nachbesserungen, um den Nachhaltigkeitsansprüchen zu genügen:</v>
      </c>
      <c r="D436" s="1767"/>
      <c r="E436" s="1767"/>
      <c r="F436" s="1767"/>
      <c r="G436" s="1767"/>
      <c r="H436" s="1767"/>
      <c r="I436" s="1767"/>
      <c r="J436" s="1767"/>
      <c r="K436" s="1767"/>
      <c r="L436" s="1767"/>
      <c r="M436" s="1767"/>
      <c r="N436" s="1767"/>
      <c r="O436" s="1767"/>
      <c r="Q436" s="1767"/>
      <c r="R436" s="1767"/>
      <c r="S436" s="1767"/>
      <c r="T436" s="1767"/>
      <c r="U436" s="1767"/>
      <c r="V436" s="1767"/>
      <c r="W436" s="1767"/>
      <c r="X436" s="1767"/>
      <c r="Y436" s="1767"/>
      <c r="Z436" s="1767"/>
      <c r="AA436" s="1767"/>
      <c r="AB436" s="1767"/>
      <c r="AC436" s="1767"/>
      <c r="AD436" s="1767"/>
      <c r="AE436" s="1767"/>
      <c r="AF436" s="1767"/>
    </row>
    <row r="437" spans="1:36" hidden="1">
      <c r="K437" s="104"/>
      <c r="Z437" s="50"/>
      <c r="AA437" s="1"/>
    </row>
    <row r="438" spans="1:36" ht="30" hidden="1" customHeight="1">
      <c r="C438" s="1958" t="str">
        <f>IF(Tool!$H$18="Pre-Check","",Text!$AK$23)</f>
        <v>Gesellschaft</v>
      </c>
      <c r="D438" s="1958"/>
      <c r="E438" s="1728" t="str">
        <f>IF(Tool!$H$18="Pre-Check","",Text!$BH$315)</f>
        <v/>
      </c>
      <c r="F438" s="1728"/>
      <c r="G438" s="1728"/>
      <c r="H438" s="1728"/>
      <c r="I438" s="1728"/>
      <c r="J438" s="1728"/>
      <c r="K438" s="1728"/>
      <c r="L438" s="1728"/>
      <c r="M438" s="1728"/>
      <c r="N438" s="1728"/>
      <c r="O438" s="1728"/>
      <c r="Q438" s="1958"/>
      <c r="R438" s="1958"/>
      <c r="S438" s="1958"/>
      <c r="T438" s="1958"/>
      <c r="U438" s="1728"/>
      <c r="V438" s="1728"/>
      <c r="W438" s="1728"/>
      <c r="X438" s="1728"/>
      <c r="Y438" s="1728"/>
      <c r="Z438" s="1728"/>
      <c r="AA438" s="1728"/>
      <c r="AB438" s="1728"/>
      <c r="AC438" s="1728"/>
      <c r="AD438" s="1728"/>
      <c r="AE438" s="1728"/>
      <c r="AF438" s="1728"/>
    </row>
    <row r="439" spans="1:36" ht="30" hidden="1" customHeight="1">
      <c r="C439" s="1959" t="str">
        <f>IF(Tool!$H$18="Pre-Check","",Text!$AK$38)</f>
        <v>Wirtschaft</v>
      </c>
      <c r="D439" s="1959"/>
      <c r="E439" s="1728" t="str">
        <f>IF(Tool!$H$18="Pre-Check","",Text!$BH$316)</f>
        <v/>
      </c>
      <c r="F439" s="1728"/>
      <c r="G439" s="1728"/>
      <c r="H439" s="1728"/>
      <c r="I439" s="1728"/>
      <c r="J439" s="1728"/>
      <c r="K439" s="1728"/>
      <c r="L439" s="1728"/>
      <c r="M439" s="1728"/>
      <c r="N439" s="1728"/>
      <c r="O439" s="1728"/>
      <c r="Q439" s="1959"/>
      <c r="R439" s="1959"/>
      <c r="S439" s="1959"/>
      <c r="T439" s="1959"/>
      <c r="U439" s="1728"/>
      <c r="V439" s="1728"/>
      <c r="W439" s="1728"/>
      <c r="X439" s="1728"/>
      <c r="Y439" s="1728"/>
      <c r="Z439" s="1728"/>
      <c r="AA439" s="1728"/>
      <c r="AB439" s="1728"/>
      <c r="AC439" s="1728"/>
      <c r="AD439" s="1728"/>
      <c r="AE439" s="1728"/>
      <c r="AF439" s="1728"/>
    </row>
    <row r="440" spans="1:36" ht="30" hidden="1" customHeight="1">
      <c r="C440" s="1960" t="str">
        <f>IF(Tool!$H$18="Pre-Check","",Text!$AK$46)</f>
        <v>Umwelt</v>
      </c>
      <c r="D440" s="1960"/>
      <c r="E440" s="1728" t="str">
        <f>IF(Tool!$H$18="Pre-Check","",Text!$BH$317)</f>
        <v/>
      </c>
      <c r="F440" s="1728"/>
      <c r="G440" s="1728"/>
      <c r="H440" s="1728"/>
      <c r="I440" s="1728"/>
      <c r="J440" s="1728"/>
      <c r="K440" s="1728"/>
      <c r="L440" s="1728"/>
      <c r="M440" s="1728"/>
      <c r="N440" s="1728"/>
      <c r="O440" s="1728"/>
      <c r="Q440" s="1960"/>
      <c r="R440" s="1960"/>
      <c r="S440" s="1960"/>
      <c r="T440" s="1960"/>
      <c r="U440" s="1728"/>
      <c r="V440" s="1728"/>
      <c r="W440" s="1728"/>
      <c r="X440" s="1728"/>
      <c r="Y440" s="1728"/>
      <c r="Z440" s="1728"/>
      <c r="AA440" s="1728"/>
      <c r="AB440" s="1728"/>
      <c r="AC440" s="1728"/>
      <c r="AD440" s="1728"/>
      <c r="AE440" s="1728"/>
      <c r="AF440" s="1728"/>
    </row>
    <row r="441" spans="1:36" ht="10.4" hidden="1" customHeight="1">
      <c r="D441" s="481"/>
      <c r="Z441" s="50"/>
      <c r="AA441" s="1"/>
    </row>
    <row r="442" spans="1:36" ht="30" hidden="1" customHeight="1">
      <c r="C442" s="1767" t="str">
        <f>IF(Tool!$H$18="Pre-Check","",Text!$C$565)</f>
        <v xml:space="preserve">Folgende Kriterien werden als "Stolpersteine" im Hinblick auf die Realisierung eines gesamtheitlich nachhaltigen Projektes identifiziert: </v>
      </c>
      <c r="D442" s="1767"/>
      <c r="E442" s="1767"/>
      <c r="F442" s="1767"/>
      <c r="G442" s="1767"/>
      <c r="H442" s="1767"/>
      <c r="I442" s="1767"/>
      <c r="J442" s="1767"/>
      <c r="K442" s="1767"/>
      <c r="L442" s="1767"/>
      <c r="M442" s="1767"/>
      <c r="N442" s="1767"/>
      <c r="O442" s="1767"/>
      <c r="Q442" s="1767"/>
      <c r="R442" s="1767"/>
      <c r="S442" s="1767"/>
      <c r="T442" s="1767"/>
      <c r="U442" s="1767"/>
      <c r="V442" s="1767"/>
      <c r="W442" s="1767"/>
      <c r="X442" s="1767"/>
      <c r="Y442" s="1767"/>
      <c r="Z442" s="1767"/>
      <c r="AA442" s="1767"/>
      <c r="AB442" s="1767"/>
      <c r="AC442" s="1767"/>
      <c r="AD442" s="1767"/>
      <c r="AE442" s="1767"/>
      <c r="AF442" s="1767"/>
    </row>
    <row r="443" spans="1:36" hidden="1">
      <c r="C443" s="104"/>
      <c r="D443" s="44"/>
      <c r="E443" s="44"/>
      <c r="F443" s="44"/>
      <c r="G443" s="44"/>
      <c r="H443" s="44"/>
      <c r="I443" s="44"/>
      <c r="J443" s="104"/>
      <c r="K443" s="104"/>
      <c r="Z443" s="50"/>
      <c r="AA443" s="1"/>
    </row>
    <row r="444" spans="1:36" ht="30" hidden="1" customHeight="1">
      <c r="C444" s="1958" t="str">
        <f>IF(Tool!$H$18="Pre-Check","",Text!$AK$23)</f>
        <v>Gesellschaft</v>
      </c>
      <c r="D444" s="1958"/>
      <c r="E444" s="1734" t="str">
        <f>IF(Tool!$H$18="Pre-Check","",Text!$BI$315)</f>
        <v/>
      </c>
      <c r="F444" s="1734"/>
      <c r="G444" s="1734"/>
      <c r="H444" s="1734"/>
      <c r="I444" s="1734"/>
      <c r="J444" s="1734"/>
      <c r="K444" s="1734"/>
      <c r="L444" s="1734"/>
      <c r="M444" s="1734"/>
      <c r="N444" s="1734"/>
      <c r="O444" s="1734"/>
      <c r="Q444" s="1958"/>
      <c r="R444" s="1958"/>
      <c r="S444" s="1958"/>
      <c r="T444" s="1958"/>
      <c r="U444" s="1728"/>
      <c r="V444" s="1728"/>
      <c r="W444" s="1728"/>
      <c r="X444" s="1728"/>
      <c r="Y444" s="1728"/>
      <c r="Z444" s="1728"/>
      <c r="AA444" s="1728"/>
      <c r="AB444" s="1728"/>
      <c r="AC444" s="1728"/>
      <c r="AD444" s="1728"/>
      <c r="AE444" s="1728"/>
      <c r="AF444" s="1728"/>
    </row>
    <row r="445" spans="1:36" ht="30" hidden="1" customHeight="1">
      <c r="C445" s="1959" t="str">
        <f>IF(Tool!$H$18="Pre-Check","",Text!$AK$38)</f>
        <v>Wirtschaft</v>
      </c>
      <c r="D445" s="1959"/>
      <c r="E445" s="1734" t="str">
        <f>IF(Tool!$H$18="Pre-Check","",Text!$BI$316)</f>
        <v/>
      </c>
      <c r="F445" s="1734"/>
      <c r="G445" s="1734"/>
      <c r="H445" s="1734"/>
      <c r="I445" s="1734"/>
      <c r="J445" s="1734"/>
      <c r="K445" s="1734"/>
      <c r="L445" s="1734"/>
      <c r="M445" s="1734"/>
      <c r="N445" s="1734"/>
      <c r="O445" s="1734"/>
      <c r="Q445" s="1959"/>
      <c r="R445" s="1959"/>
      <c r="S445" s="1959"/>
      <c r="T445" s="1959"/>
      <c r="U445" s="1728"/>
      <c r="V445" s="1728"/>
      <c r="W445" s="1728"/>
      <c r="X445" s="1728"/>
      <c r="Y445" s="1728"/>
      <c r="Z445" s="1728"/>
      <c r="AA445" s="1728"/>
      <c r="AB445" s="1728"/>
      <c r="AC445" s="1728"/>
      <c r="AD445" s="1728"/>
      <c r="AE445" s="1728"/>
      <c r="AF445" s="1728"/>
    </row>
    <row r="446" spans="1:36" ht="30" hidden="1" customHeight="1">
      <c r="C446" s="1960" t="str">
        <f>IF(Tool!$H$18="Pre-Check","",Text!$AK$46)</f>
        <v>Umwelt</v>
      </c>
      <c r="D446" s="1960"/>
      <c r="E446" s="1734" t="str">
        <f>IF(Tool!$H$18="Pre-Check","",Text!$BI$317)</f>
        <v/>
      </c>
      <c r="F446" s="1734"/>
      <c r="G446" s="1734"/>
      <c r="H446" s="1734"/>
      <c r="I446" s="1734"/>
      <c r="J446" s="1734"/>
      <c r="K446" s="1734"/>
      <c r="L446" s="1734"/>
      <c r="M446" s="1734"/>
      <c r="N446" s="1734"/>
      <c r="O446" s="1734"/>
      <c r="Q446" s="1960"/>
      <c r="R446" s="1960"/>
      <c r="S446" s="1960"/>
      <c r="T446" s="1960"/>
      <c r="U446" s="1728"/>
      <c r="V446" s="1728"/>
      <c r="W446" s="1728"/>
      <c r="X446" s="1728"/>
      <c r="Y446" s="1728"/>
      <c r="Z446" s="1728"/>
      <c r="AA446" s="1728"/>
      <c r="AB446" s="1728"/>
      <c r="AC446" s="1728"/>
      <c r="AD446" s="1728"/>
      <c r="AE446" s="1728"/>
      <c r="AF446" s="1728"/>
    </row>
    <row r="447" spans="1:36" ht="30" hidden="1" customHeight="1">
      <c r="C447" s="1255"/>
      <c r="D447" s="1255"/>
      <c r="E447" s="1231"/>
      <c r="F447" s="1231"/>
      <c r="G447" s="1231"/>
      <c r="H447" s="1231"/>
      <c r="I447" s="1231"/>
      <c r="J447" s="1231"/>
      <c r="K447" s="1231"/>
      <c r="L447" s="1231"/>
      <c r="M447" s="1231"/>
      <c r="N447" s="1231"/>
      <c r="O447" s="1231"/>
      <c r="Q447"/>
      <c r="R447" s="1256"/>
      <c r="S447" s="1256"/>
      <c r="T447" s="1256"/>
      <c r="U447" s="1256"/>
      <c r="V447" s="1257"/>
      <c r="W447" s="1257"/>
      <c r="X447" s="1257"/>
      <c r="Y447" s="1257"/>
      <c r="Z447" s="1257"/>
      <c r="AA447" s="1257"/>
      <c r="AB447" s="1257"/>
      <c r="AC447" s="1257"/>
      <c r="AD447" s="1257"/>
      <c r="AE447" s="1257"/>
      <c r="AF447" s="1257"/>
      <c r="AG447" s="481"/>
    </row>
    <row r="448" spans="1:36" s="244" customFormat="1" ht="60" hidden="1" customHeight="1">
      <c r="A448" s="44"/>
      <c r="D448" s="1230"/>
      <c r="E448" s="1230"/>
      <c r="F448" s="1230"/>
      <c r="G448" s="1230"/>
      <c r="H448" s="1230"/>
      <c r="I448" s="1230"/>
      <c r="J448" s="1230"/>
      <c r="K448" s="1230"/>
      <c r="L448" s="1230"/>
      <c r="M448" s="1230"/>
      <c r="N448" s="1230"/>
      <c r="O448" s="1230"/>
      <c r="P448" s="1230"/>
      <c r="Q448" s="1230"/>
      <c r="R448" s="1230"/>
      <c r="S448" s="1230"/>
      <c r="T448" s="1230"/>
      <c r="U448" s="1230"/>
      <c r="V448" s="1230"/>
      <c r="W448" s="1230"/>
      <c r="X448" s="1230"/>
      <c r="Y448" s="104"/>
      <c r="Z448" s="104"/>
      <c r="AA448" s="104"/>
      <c r="AB448" s="104"/>
      <c r="AC448" s="104"/>
      <c r="AD448" s="104"/>
      <c r="AE448" s="104"/>
      <c r="AF448" s="104"/>
      <c r="AG448" s="104"/>
      <c r="AH448" s="104"/>
      <c r="AI448" s="104"/>
      <c r="AJ448" s="104"/>
    </row>
    <row r="449" spans="2:39" ht="20.149999999999999" hidden="1" customHeight="1">
      <c r="K449" s="131"/>
      <c r="L449" s="131"/>
      <c r="M449" s="78"/>
      <c r="V449" s="1267"/>
      <c r="W449" s="1267"/>
      <c r="X449" s="1267"/>
      <c r="Y449" s="1267"/>
      <c r="Z449" s="1267"/>
      <c r="AA449" s="1267"/>
      <c r="AB449" s="1947" t="str">
        <f>Text!$C$575</f>
        <v>Bewertung der Kriterien</v>
      </c>
      <c r="AC449" s="1947"/>
      <c r="AD449" s="1947"/>
      <c r="AE449" s="1947"/>
      <c r="AF449" s="480" t="s">
        <v>417</v>
      </c>
      <c r="AG449" s="1234"/>
      <c r="AH449" s="475"/>
      <c r="AI449" s="78"/>
      <c r="AJ449" s="78"/>
      <c r="AK449" s="78"/>
      <c r="AL449" s="78"/>
      <c r="AM449" s="78"/>
    </row>
    <row r="450" spans="2:39" ht="5.15" hidden="1" customHeight="1">
      <c r="M450" s="78"/>
      <c r="V450" s="1267"/>
      <c r="W450" s="1267"/>
      <c r="X450" s="1267"/>
      <c r="Y450" s="1267"/>
      <c r="Z450" s="1267"/>
      <c r="AA450" s="1267"/>
      <c r="AE450" s="475"/>
      <c r="AG450" s="475"/>
      <c r="AH450" s="475"/>
      <c r="AI450" s="78"/>
      <c r="AJ450" s="78"/>
      <c r="AK450" s="78"/>
      <c r="AL450" s="78"/>
      <c r="AM450" s="78"/>
    </row>
    <row r="451" spans="2:39" ht="10.4" hidden="1" customHeight="1">
      <c r="K451" s="131"/>
      <c r="L451" s="131"/>
      <c r="M451" s="78"/>
      <c r="V451" s="1267"/>
      <c r="W451" s="1267"/>
      <c r="X451" s="1267"/>
      <c r="Y451" s="1267"/>
      <c r="Z451" s="1267"/>
      <c r="AA451" s="1267"/>
      <c r="AB451" s="1948" t="str">
        <f>Text!$C$559</f>
        <v>Gut</v>
      </c>
      <c r="AC451" s="1948"/>
      <c r="AD451" s="1948"/>
      <c r="AF451" s="131" t="s">
        <v>406</v>
      </c>
      <c r="AI451" s="78"/>
      <c r="AJ451" s="78"/>
      <c r="AK451" s="78"/>
      <c r="AL451" s="78"/>
      <c r="AM451" s="78"/>
    </row>
    <row r="452" spans="2:39" ht="2.15" hidden="1" customHeight="1">
      <c r="K452" s="131"/>
      <c r="L452" s="131"/>
      <c r="M452" s="78"/>
      <c r="V452" s="1267"/>
      <c r="W452" s="1267"/>
      <c r="X452" s="1267"/>
      <c r="Y452" s="1267"/>
      <c r="Z452" s="1267"/>
      <c r="AA452" s="1267"/>
      <c r="AB452" s="472"/>
      <c r="AF452" s="131"/>
      <c r="AI452" s="78"/>
      <c r="AJ452" s="78"/>
      <c r="AK452" s="78"/>
      <c r="AL452" s="78"/>
      <c r="AM452" s="78"/>
    </row>
    <row r="453" spans="2:39" ht="10.4" hidden="1" customHeight="1">
      <c r="K453" s="131"/>
      <c r="L453" s="131"/>
      <c r="M453" s="78"/>
      <c r="V453" s="1268"/>
      <c r="W453" s="1268"/>
      <c r="X453"/>
      <c r="Y453" s="1269"/>
      <c r="Z453" s="1269"/>
      <c r="AA453" s="1269"/>
      <c r="AB453" s="1949" t="str">
        <f>Text!$C$558</f>
        <v>Genügend</v>
      </c>
      <c r="AC453" s="1950"/>
      <c r="AD453" s="1950"/>
      <c r="AF453" s="131" t="s">
        <v>407</v>
      </c>
      <c r="AI453" s="78"/>
      <c r="AJ453" s="78"/>
      <c r="AK453" s="78"/>
      <c r="AL453" s="78"/>
      <c r="AM453" s="78"/>
    </row>
    <row r="454" spans="2:39" ht="2.15" hidden="1" customHeight="1">
      <c r="K454" s="131"/>
      <c r="L454" s="131"/>
      <c r="M454" s="78"/>
      <c r="O454" s="11"/>
      <c r="V454"/>
      <c r="W454"/>
      <c r="X454"/>
      <c r="Y454"/>
      <c r="Z454"/>
      <c r="AA454"/>
      <c r="AB454" s="472"/>
      <c r="AF454" s="131"/>
      <c r="AI454" s="78"/>
      <c r="AJ454" s="78"/>
      <c r="AK454" s="78"/>
      <c r="AL454" s="78"/>
      <c r="AM454" s="78"/>
    </row>
    <row r="455" spans="2:39" ht="10.4" hidden="1" customHeight="1">
      <c r="K455" s="131"/>
      <c r="L455" s="131"/>
      <c r="M455" s="78"/>
      <c r="V455" s="1270"/>
      <c r="W455" s="1270"/>
      <c r="X455"/>
      <c r="Y455" s="1271"/>
      <c r="Z455" s="1271"/>
      <c r="AA455"/>
      <c r="AB455" s="1951" t="str">
        <f>Text!$C$557</f>
        <v>Ungenügend</v>
      </c>
      <c r="AC455" s="1952"/>
      <c r="AD455" s="1952"/>
      <c r="AE455" s="78"/>
      <c r="AF455" s="131" t="s">
        <v>408</v>
      </c>
      <c r="AG455" s="78"/>
      <c r="AH455" s="78"/>
      <c r="AI455" s="78"/>
      <c r="AJ455" s="78"/>
      <c r="AK455" s="78"/>
      <c r="AL455" s="78"/>
      <c r="AM455" s="78"/>
    </row>
    <row r="456" spans="2:39" ht="2.15" hidden="1" customHeight="1">
      <c r="K456" s="131"/>
      <c r="L456" s="131"/>
      <c r="M456" s="78"/>
      <c r="V456" s="11"/>
      <c r="X456" s="78"/>
      <c r="Y456" s="78"/>
      <c r="Z456" s="78"/>
      <c r="AA456" s="78"/>
      <c r="AB456" s="472"/>
      <c r="AE456" s="78"/>
      <c r="AF456" s="131"/>
      <c r="AG456" s="78"/>
      <c r="AH456" s="78"/>
      <c r="AI456" s="78"/>
      <c r="AJ456" s="78"/>
      <c r="AK456" s="78"/>
      <c r="AL456" s="78"/>
      <c r="AM456" s="78"/>
    </row>
    <row r="457" spans="2:39" ht="10.4" hidden="1" customHeight="1">
      <c r="B457" s="232"/>
      <c r="C457" s="232"/>
      <c r="D457" s="233"/>
      <c r="E457" s="232"/>
      <c r="K457" s="131"/>
      <c r="L457" s="131"/>
      <c r="Q457" s="232"/>
      <c r="R457" s="233"/>
      <c r="S457" s="232"/>
      <c r="T457" s="232"/>
      <c r="X457" s="234"/>
      <c r="Y457" s="234"/>
      <c r="Z457" s="234"/>
      <c r="AA457" s="232"/>
      <c r="AB457" s="1953" t="str">
        <f>Text!$C$556</f>
        <v>Stolperstein</v>
      </c>
      <c r="AC457" s="1954"/>
      <c r="AD457" s="1955"/>
      <c r="AE457" s="232"/>
      <c r="AF457" s="131" t="s">
        <v>409</v>
      </c>
      <c r="AG457" s="232"/>
      <c r="AH457" s="232"/>
      <c r="AI457"/>
      <c r="AJ457"/>
      <c r="AK457"/>
      <c r="AL457"/>
      <c r="AM457"/>
    </row>
    <row r="458" spans="2:39" ht="10.4" hidden="1" customHeight="1">
      <c r="B458" s="232"/>
      <c r="C458" s="232"/>
      <c r="D458" s="233"/>
      <c r="E458" s="232"/>
      <c r="H458" s="474"/>
      <c r="I458" s="234"/>
      <c r="J458" s="234"/>
      <c r="K458" s="473"/>
      <c r="L458" s="473"/>
      <c r="Q458" s="232"/>
      <c r="R458" s="233"/>
      <c r="S458" s="232"/>
      <c r="T458" s="232"/>
      <c r="U458" s="1235"/>
      <c r="V458" s="1235"/>
      <c r="W458" s="1235"/>
      <c r="X458" s="1235"/>
      <c r="Y458" s="1235"/>
      <c r="Z458" s="1235"/>
      <c r="AA458" s="1235"/>
      <c r="AB458" s="1235"/>
      <c r="AC458" s="1235"/>
      <c r="AD458" s="1235"/>
      <c r="AE458" s="232"/>
      <c r="AF458" s="232"/>
      <c r="AG458" s="232"/>
      <c r="AH458" s="232"/>
      <c r="AI458"/>
      <c r="AJ458"/>
      <c r="AK458"/>
      <c r="AL458"/>
      <c r="AM458"/>
    </row>
    <row r="459" spans="2:39" ht="10" hidden="1" customHeight="1">
      <c r="B459" s="1956" t="str">
        <f>Text!C$300</f>
        <v>Transversale Kriterien aus dem SNBS 2023.01 Hochbau</v>
      </c>
      <c r="C459" s="1956"/>
      <c r="D459" s="1956"/>
      <c r="E459" s="1956"/>
      <c r="F459" s="1956"/>
      <c r="G459" s="1956"/>
      <c r="H459" s="1956"/>
      <c r="I459" s="1956"/>
      <c r="J459" s="1956"/>
      <c r="K459" s="1956"/>
      <c r="M459" s="1957"/>
      <c r="N459" s="1957"/>
      <c r="O459" s="1957"/>
      <c r="Q459" s="1854"/>
      <c r="R459" s="1854"/>
      <c r="S459" s="14"/>
      <c r="T459" s="14"/>
      <c r="U459" s="1956" t="str">
        <f>Text!C$403</f>
        <v>Klima-Check</v>
      </c>
      <c r="V459" s="1956"/>
      <c r="W459" s="1956"/>
      <c r="X459" s="1956"/>
      <c r="Y459" s="1956"/>
      <c r="Z459" s="1956"/>
      <c r="AA459" s="1956"/>
      <c r="AB459" s="1956"/>
      <c r="AC459" s="1956"/>
      <c r="AD459" s="1956"/>
      <c r="AE459" s="1956"/>
      <c r="AF459" s="1956"/>
      <c r="AG459" s="1956"/>
      <c r="AI459"/>
      <c r="AJ459"/>
      <c r="AK459"/>
      <c r="AL459"/>
      <c r="AM459"/>
    </row>
    <row r="460" spans="2:39" ht="15" hidden="1" customHeight="1">
      <c r="B460" s="1956"/>
      <c r="C460" s="1956"/>
      <c r="D460" s="1956"/>
      <c r="E460" s="1956"/>
      <c r="F460" s="1956"/>
      <c r="G460" s="1956"/>
      <c r="H460" s="1956"/>
      <c r="I460" s="1956"/>
      <c r="J460" s="1956"/>
      <c r="K460" s="1956"/>
      <c r="M460" s="1957"/>
      <c r="N460" s="1957"/>
      <c r="O460" s="1957"/>
      <c r="Q460" s="1854"/>
      <c r="R460" s="1854"/>
      <c r="U460" s="1956"/>
      <c r="V460" s="1956"/>
      <c r="W460" s="1956"/>
      <c r="X460" s="1956"/>
      <c r="Y460" s="1956"/>
      <c r="Z460" s="1956"/>
      <c r="AA460" s="1956"/>
      <c r="AB460" s="1956"/>
      <c r="AC460" s="1956"/>
      <c r="AD460" s="1956"/>
      <c r="AE460" s="1956"/>
      <c r="AF460" s="1956"/>
      <c r="AG460" s="1956"/>
    </row>
    <row r="461" spans="2:39" ht="7" hidden="1" customHeight="1">
      <c r="B461" s="1956"/>
      <c r="C461" s="1956"/>
      <c r="D461" s="1956"/>
      <c r="E461" s="1956"/>
      <c r="F461" s="1956"/>
      <c r="G461" s="1956"/>
      <c r="H461" s="1956"/>
      <c r="I461" s="1956"/>
      <c r="J461" s="1956"/>
      <c r="K461" s="1956"/>
      <c r="M461" s="1957"/>
      <c r="N461" s="1957"/>
      <c r="O461" s="1957"/>
      <c r="Q461" s="1854"/>
      <c r="R461" s="1854"/>
      <c r="U461" s="1956"/>
      <c r="V461" s="1956"/>
      <c r="W461" s="1956"/>
      <c r="X461" s="1956"/>
      <c r="Y461" s="1956"/>
      <c r="Z461" s="1956"/>
      <c r="AA461" s="1956"/>
      <c r="AB461" s="1956"/>
      <c r="AC461" s="1956"/>
      <c r="AD461" s="1956"/>
      <c r="AE461" s="1956"/>
      <c r="AF461" s="1956"/>
      <c r="AG461" s="1956"/>
    </row>
    <row r="462" spans="2:39" ht="30" hidden="1" customHeight="1">
      <c r="B462" s="1749" t="str">
        <f>Text!AK$23</f>
        <v>Gesellschaft</v>
      </c>
      <c r="C462" s="1749"/>
      <c r="D462" s="1749"/>
      <c r="E462" s="1749"/>
      <c r="F462" s="1250"/>
      <c r="G462" s="1938"/>
      <c r="H462" s="1938"/>
      <c r="I462" s="1938"/>
      <c r="J462" s="1938"/>
      <c r="K462" s="1938"/>
      <c r="L462" s="1938"/>
      <c r="M462" s="1938"/>
      <c r="N462" s="1938"/>
      <c r="O462" s="1938"/>
      <c r="Q462" s="1854"/>
      <c r="R462" s="1854"/>
      <c r="S462" s="14"/>
      <c r="T462" s="14"/>
      <c r="U462" s="1938" t="str">
        <f>Text!C$571</f>
        <v>Im Bereich ''Gesellschaft'' wird ein Erfüllungsgrad von 0% erzielt</v>
      </c>
      <c r="V462" s="1938"/>
      <c r="W462" s="1938"/>
      <c r="X462" s="1938"/>
      <c r="Y462" s="1938"/>
      <c r="Z462" s="1938"/>
      <c r="AA462" s="1938"/>
      <c r="AB462" s="1938"/>
      <c r="AC462" s="1938"/>
      <c r="AD462" s="1938"/>
      <c r="AE462" s="1938"/>
      <c r="AF462" s="1938"/>
      <c r="AG462" s="1938"/>
      <c r="AI462"/>
      <c r="AJ462"/>
      <c r="AK462"/>
      <c r="AL462"/>
      <c r="AM462"/>
    </row>
    <row r="463" spans="2:39" ht="12" hidden="1" customHeight="1" thickBot="1">
      <c r="E463" s="1251"/>
      <c r="K463" s="235"/>
      <c r="L463" s="235"/>
      <c r="M463" s="235"/>
      <c r="N463" s="235"/>
      <c r="O463" s="235"/>
      <c r="P463" s="235"/>
      <c r="Q463" s="235"/>
      <c r="R463" s="235"/>
      <c r="S463" s="235"/>
      <c r="T463" s="235"/>
      <c r="U463" s="235"/>
      <c r="V463" s="235"/>
      <c r="W463" s="235"/>
      <c r="X463" s="235"/>
      <c r="Y463" s="235"/>
      <c r="Z463" s="235"/>
      <c r="AA463" s="235"/>
      <c r="AB463" s="235"/>
      <c r="AC463" s="235"/>
      <c r="AD463" s="235"/>
      <c r="AE463" s="235"/>
      <c r="AF463" s="235"/>
      <c r="AG463" s="235"/>
      <c r="AH463" s="235"/>
      <c r="AI463"/>
      <c r="AJ463"/>
      <c r="AK463"/>
      <c r="AL463"/>
      <c r="AM463"/>
    </row>
    <row r="464" spans="2:39" ht="2.15" hidden="1" customHeight="1" thickTop="1" thickBot="1">
      <c r="B464" s="1939">
        <f>Text!$AM$23</f>
        <v>11</v>
      </c>
      <c r="C464" s="1937" t="str">
        <f>Text!$BA$23</f>
        <v xml:space="preserve">             Qualität der Entwicklung</v>
      </c>
      <c r="D464" s="1937"/>
      <c r="E464" s="1937"/>
      <c r="K464" s="235"/>
      <c r="L464" s="235"/>
      <c r="M464" s="235"/>
      <c r="N464" s="235"/>
      <c r="O464" s="235"/>
      <c r="P464" s="235"/>
      <c r="Q464" s="235"/>
      <c r="R464" s="235"/>
      <c r="S464" s="235"/>
      <c r="T464" s="235"/>
      <c r="U464" s="235"/>
      <c r="V464" s="235"/>
      <c r="W464" s="235"/>
      <c r="X464" s="235"/>
      <c r="Y464" s="235"/>
      <c r="Z464" s="235"/>
      <c r="AA464" s="235"/>
      <c r="AB464" s="1865" t="str">
        <f>Text!$BA$23</f>
        <v xml:space="preserve">             Qualität der Entwicklung</v>
      </c>
      <c r="AC464" s="1866"/>
      <c r="AD464" s="1866"/>
      <c r="AE464" s="1866"/>
      <c r="AF464" s="1867"/>
      <c r="AG464" s="1940">
        <f>Text!$AM$23</f>
        <v>11</v>
      </c>
      <c r="AH464" s="235"/>
      <c r="AI464"/>
      <c r="AJ464"/>
      <c r="AK464"/>
      <c r="AL464"/>
      <c r="AM464"/>
    </row>
    <row r="465" spans="1:39" s="44" customFormat="1" ht="10.4" hidden="1" customHeight="1" thickTop="1" thickBot="1">
      <c r="A465" s="1"/>
      <c r="B465" s="1863"/>
      <c r="C465" s="1937"/>
      <c r="D465" s="1937"/>
      <c r="E465" s="1937"/>
      <c r="F465" s="1"/>
      <c r="G465" s="1145">
        <f>Text!$AQ$23</f>
        <v>111</v>
      </c>
      <c r="H465" s="1941" t="str">
        <f>Text!$AR$23</f>
        <v>Ziele &amp; Pflichtenhefte</v>
      </c>
      <c r="I465" s="1942"/>
      <c r="J465" s="1942"/>
      <c r="K465" s="1943"/>
      <c r="M465" s="1146" t="s">
        <v>1444</v>
      </c>
      <c r="P465" s="1161" t="s">
        <v>1444</v>
      </c>
      <c r="S465" s="59"/>
      <c r="T465" s="59"/>
      <c r="U465" s="1934" t="str">
        <f>Text!$AU$23</f>
        <v>Ziele &amp; Pflichtenhefte Klima</v>
      </c>
      <c r="V465" s="1935"/>
      <c r="W465" s="1935"/>
      <c r="X465" s="1935"/>
      <c r="Y465" s="1936"/>
      <c r="Z465" s="1148" t="str">
        <f>Text!$AT$23</f>
        <v>K111</v>
      </c>
      <c r="AA465" s="1404"/>
      <c r="AB465" s="1868"/>
      <c r="AC465" s="1869"/>
      <c r="AD465" s="1869"/>
      <c r="AE465" s="1869"/>
      <c r="AF465" s="1870"/>
      <c r="AG465" s="1874"/>
      <c r="AH465" s="236"/>
      <c r="AI465" s="237"/>
      <c r="AJ465" s="238"/>
      <c r="AK465" s="238"/>
      <c r="AL465" s="238"/>
      <c r="AM465" s="238"/>
    </row>
    <row r="466" spans="1:39" s="240" customFormat="1" ht="10.4" hidden="1" customHeight="1" thickTop="1" thickBot="1">
      <c r="A466" s="1"/>
      <c r="B466" s="1863"/>
      <c r="C466" s="1937"/>
      <c r="D466" s="1937"/>
      <c r="E466" s="1937"/>
      <c r="F466" s="1"/>
      <c r="G466" s="1145">
        <f>Text!$AQ$24</f>
        <v>112</v>
      </c>
      <c r="H466" s="1758" t="str">
        <f>Text!$AR$24</f>
        <v>Städtebau &amp; Architektur</v>
      </c>
      <c r="I466" s="1759"/>
      <c r="J466" s="1759"/>
      <c r="K466" s="1760"/>
      <c r="M466" s="2"/>
      <c r="N466" s="2"/>
      <c r="O466" s="2"/>
      <c r="P466" s="2"/>
      <c r="Q466" s="2"/>
      <c r="R466" s="2"/>
      <c r="S466" s="59"/>
      <c r="T466" s="59"/>
      <c r="U466" s="1934" t="str">
        <f>Text!$AU$24</f>
        <v>Klimaangepasster Städtebau</v>
      </c>
      <c r="V466" s="1935"/>
      <c r="W466" s="1935"/>
      <c r="X466" s="1935"/>
      <c r="Y466" s="1936"/>
      <c r="Z466" s="1148" t="str">
        <f>Text!$AT$24</f>
        <v>K112a</v>
      </c>
      <c r="AA466" s="1405"/>
      <c r="AB466" s="1868"/>
      <c r="AC466" s="1869"/>
      <c r="AD466" s="1869"/>
      <c r="AE466" s="1869"/>
      <c r="AF466" s="1870"/>
      <c r="AG466" s="1874"/>
      <c r="AH466" s="235"/>
      <c r="AI466" s="239"/>
    </row>
    <row r="467" spans="1:39" s="240" customFormat="1" ht="10.4" hidden="1" customHeight="1" thickTop="1" thickBot="1">
      <c r="A467" s="1"/>
      <c r="B467" s="1863"/>
      <c r="C467" s="1937"/>
      <c r="D467" s="1937"/>
      <c r="E467" s="1937"/>
      <c r="F467" s="1"/>
      <c r="M467" s="18"/>
      <c r="N467" s="2"/>
      <c r="O467" s="2"/>
      <c r="P467" s="2"/>
      <c r="Q467" s="2"/>
      <c r="R467" s="2"/>
      <c r="S467" s="59"/>
      <c r="T467" s="59"/>
      <c r="U467" s="1934" t="str">
        <f>Text!$AU$25</f>
        <v>Klimaangepasstes Planerwahlverfahren</v>
      </c>
      <c r="V467" s="1935"/>
      <c r="W467" s="1935"/>
      <c r="X467" s="1935"/>
      <c r="Y467" s="1936"/>
      <c r="Z467" s="1148" t="str">
        <f>Text!$AT$25</f>
        <v>K112b</v>
      </c>
      <c r="AA467" s="1405"/>
      <c r="AB467" s="1868"/>
      <c r="AC467" s="1869"/>
      <c r="AD467" s="1869"/>
      <c r="AE467" s="1869"/>
      <c r="AF467" s="1870"/>
      <c r="AG467" s="1874"/>
      <c r="AH467" s="235"/>
      <c r="AI467" s="242"/>
    </row>
    <row r="468" spans="1:39" s="240" customFormat="1" ht="10.4" hidden="1" customHeight="1" thickTop="1" thickBot="1">
      <c r="A468" s="1"/>
      <c r="B468" s="1863"/>
      <c r="C468" s="1937"/>
      <c r="D468" s="1937"/>
      <c r="E468" s="1937"/>
      <c r="F468" s="1"/>
      <c r="G468" s="1558">
        <f>Text!$AQ$25</f>
        <v>113</v>
      </c>
      <c r="H468" s="1876" t="str">
        <f>Text!$AR$25</f>
        <v>Partizipation</v>
      </c>
      <c r="I468" s="1877"/>
      <c r="J468" s="1877"/>
      <c r="K468" s="1878"/>
      <c r="M468" s="18"/>
      <c r="N468" s="2"/>
      <c r="O468" s="2"/>
      <c r="P468" s="2"/>
      <c r="Q468" s="2"/>
      <c r="R468" s="2"/>
      <c r="S468" s="59"/>
      <c r="T468" s="59"/>
      <c r="U468" s="1934" t="str">
        <f>Text!$AU$26</f>
        <v>Sensibilisierung &amp; Nutzerverhalten</v>
      </c>
      <c r="V468" s="1935"/>
      <c r="W468" s="1935"/>
      <c r="X468" s="1935"/>
      <c r="Y468" s="1936"/>
      <c r="Z468" s="1148" t="str">
        <f>Text!$AT$26</f>
        <v>K113a</v>
      </c>
      <c r="AA468" s="1405"/>
      <c r="AB468" s="1868"/>
      <c r="AC468" s="1869"/>
      <c r="AD468" s="1869"/>
      <c r="AE468" s="1869"/>
      <c r="AF468" s="1870"/>
      <c r="AG468" s="1874"/>
      <c r="AH468" s="235"/>
      <c r="AI468" s="242"/>
    </row>
    <row r="469" spans="1:39" s="240" customFormat="1" ht="10.4" hidden="1" customHeight="1" thickTop="1" thickBot="1">
      <c r="A469" s="1"/>
      <c r="B469" s="1863"/>
      <c r="C469" s="1937"/>
      <c r="D469" s="1937"/>
      <c r="E469" s="1937"/>
      <c r="F469" s="1"/>
      <c r="N469" s="2"/>
      <c r="O469" s="2"/>
      <c r="P469" s="2"/>
      <c r="Q469" s="2"/>
      <c r="R469" s="2"/>
      <c r="S469" s="59"/>
      <c r="T469" s="59"/>
      <c r="U469" s="1944" t="str">
        <f>Text!$AU$27</f>
        <v>Partizipation im Klimaschutz</v>
      </c>
      <c r="V469" s="1945"/>
      <c r="W469" s="1945"/>
      <c r="X469" s="1945"/>
      <c r="Y469" s="1946"/>
      <c r="Z469" s="1148" t="str">
        <f>Text!$AT$27</f>
        <v>K113b</v>
      </c>
      <c r="AA469" s="1405"/>
      <c r="AB469" s="1871"/>
      <c r="AC469" s="1872"/>
      <c r="AD469" s="1872"/>
      <c r="AE469" s="1872"/>
      <c r="AF469" s="1873"/>
      <c r="AG469" s="1874"/>
      <c r="AH469" s="235"/>
      <c r="AI469" s="241"/>
    </row>
    <row r="470" spans="1:39" s="240" customFormat="1" ht="2.15" hidden="1" customHeight="1" thickBot="1">
      <c r="A470" s="1"/>
      <c r="B470" s="1863">
        <f>Text!$AM$26</f>
        <v>12</v>
      </c>
      <c r="C470" s="1937" t="str">
        <f>Text!$BA$24</f>
        <v xml:space="preserve">             Angebot &amp; Erreichbarkeit</v>
      </c>
      <c r="D470" s="1937"/>
      <c r="E470" s="1937"/>
      <c r="F470" s="1"/>
      <c r="G470" s="1"/>
      <c r="H470" s="1"/>
      <c r="I470" s="1"/>
      <c r="J470" s="1"/>
      <c r="O470" s="2"/>
      <c r="P470" s="2"/>
      <c r="Q470" s="2"/>
      <c r="R470" s="2"/>
      <c r="S470" s="59"/>
      <c r="T470" s="59"/>
      <c r="U470" s="235"/>
      <c r="V470" s="1237"/>
      <c r="W470" s="235"/>
      <c r="X470" s="235"/>
      <c r="Y470" s="235"/>
      <c r="Z470" s="235"/>
      <c r="AA470" s="1405"/>
      <c r="AB470" s="1865" t="str">
        <f>Text!$BA$24</f>
        <v xml:space="preserve">             Angebot &amp; Erreichbarkeit</v>
      </c>
      <c r="AC470" s="1866"/>
      <c r="AD470" s="1866"/>
      <c r="AE470" s="1866"/>
      <c r="AF470" s="1867"/>
      <c r="AG470" s="1874">
        <f>Text!$AM$26</f>
        <v>12</v>
      </c>
      <c r="AH470" s="235"/>
      <c r="AI470" s="241"/>
    </row>
    <row r="471" spans="1:39" s="240" customFormat="1" ht="10.4" hidden="1" customHeight="1" thickTop="1" thickBot="1">
      <c r="A471" s="1"/>
      <c r="B471" s="1863"/>
      <c r="C471" s="1937"/>
      <c r="D471" s="1937"/>
      <c r="E471" s="1937"/>
      <c r="F471" s="1"/>
      <c r="G471" s="1145">
        <f>Text!$AQ$26</f>
        <v>121</v>
      </c>
      <c r="H471" s="1758" t="str">
        <f>Text!$AR$26</f>
        <v>Erreichbarkeit &amp; Nutzungsangebot im Quartierumfeld</v>
      </c>
      <c r="I471" s="1759"/>
      <c r="J471" s="1759"/>
      <c r="K471" s="1760"/>
      <c r="M471" s="1151"/>
      <c r="N471" s="2"/>
      <c r="P471" s="145"/>
      <c r="Q471" s="755"/>
      <c r="R471" s="755"/>
      <c r="S471" s="755"/>
      <c r="T471" s="755"/>
      <c r="U471" s="1934" t="str">
        <f>Text!$AU$28</f>
        <v>Abkühlungsangebot im Quartier</v>
      </c>
      <c r="V471" s="1935"/>
      <c r="W471" s="1935"/>
      <c r="X471" s="1935"/>
      <c r="Y471" s="1936"/>
      <c r="Z471" s="1148" t="str">
        <f>Text!$AT$28</f>
        <v>K121</v>
      </c>
      <c r="AA471" s="1405"/>
      <c r="AB471" s="1868"/>
      <c r="AC471" s="1869"/>
      <c r="AD471" s="1869"/>
      <c r="AE471" s="1869"/>
      <c r="AF471" s="1870"/>
      <c r="AG471" s="1874"/>
      <c r="AH471" s="235"/>
      <c r="AI471" s="239"/>
    </row>
    <row r="472" spans="1:39" s="240" customFormat="1" ht="10.4" hidden="1" customHeight="1" thickTop="1" thickBot="1">
      <c r="A472" s="1"/>
      <c r="B472" s="1863"/>
      <c r="C472" s="1937"/>
      <c r="D472" s="1937"/>
      <c r="E472" s="1937"/>
      <c r="F472" s="1"/>
      <c r="G472" s="1558">
        <f>Text!$AQ$27</f>
        <v>122</v>
      </c>
      <c r="H472" s="1876" t="str">
        <f>Text!$AR$27</f>
        <v>Hindernisfreies Bauen</v>
      </c>
      <c r="I472" s="1877"/>
      <c r="J472" s="1877"/>
      <c r="K472" s="1878"/>
      <c r="M472" s="1227"/>
      <c r="N472" s="755"/>
      <c r="O472" s="1228"/>
      <c r="P472" s="145"/>
      <c r="Q472" s="755"/>
      <c r="R472" s="755"/>
      <c r="S472" s="755"/>
      <c r="T472" s="755"/>
      <c r="U472" s="1934" t="str">
        <f>Text!$AU$29</f>
        <v>Bauen mit Abkühlungshilfen</v>
      </c>
      <c r="V472" s="1935"/>
      <c r="W472" s="1935"/>
      <c r="X472" s="1935"/>
      <c r="Y472" s="1936"/>
      <c r="Z472" s="1148" t="str">
        <f>Text!$AT$29</f>
        <v>K122</v>
      </c>
      <c r="AA472" s="1405"/>
      <c r="AB472" s="1868"/>
      <c r="AC472" s="1869"/>
      <c r="AD472" s="1869"/>
      <c r="AE472" s="1869"/>
      <c r="AF472" s="1870"/>
      <c r="AG472" s="1874"/>
      <c r="AH472" s="235"/>
      <c r="AI472" s="241"/>
    </row>
    <row r="473" spans="1:39" s="240" customFormat="1" ht="10.4" hidden="1" customHeight="1" thickBot="1">
      <c r="A473" s="1"/>
      <c r="B473" s="1863"/>
      <c r="C473" s="1937"/>
      <c r="D473" s="1937"/>
      <c r="E473" s="1937"/>
      <c r="F473" s="1"/>
      <c r="G473" s="1"/>
      <c r="H473" s="1"/>
      <c r="I473" s="1"/>
      <c r="J473" s="1"/>
      <c r="N473" s="2"/>
      <c r="O473" s="2"/>
      <c r="P473" s="2"/>
      <c r="Q473" s="755"/>
      <c r="R473" s="755"/>
      <c r="S473" s="755"/>
      <c r="T473" s="755"/>
      <c r="U473" s="1149"/>
      <c r="V473" s="1149"/>
      <c r="W473" s="649"/>
      <c r="X473" s="235"/>
      <c r="Y473" s="235"/>
      <c r="Z473" s="235"/>
      <c r="AA473" s="1405"/>
      <c r="AB473" s="1871"/>
      <c r="AC473" s="1872"/>
      <c r="AD473" s="1872"/>
      <c r="AE473" s="1872"/>
      <c r="AF473" s="1873"/>
      <c r="AG473" s="1874"/>
      <c r="AH473" s="235"/>
      <c r="AI473" s="239"/>
    </row>
    <row r="474" spans="1:39" s="240" customFormat="1" ht="2.15" hidden="1" customHeight="1" thickBot="1">
      <c r="A474" s="1"/>
      <c r="B474" s="1863">
        <f>Text!$AM$28</f>
        <v>13</v>
      </c>
      <c r="C474" s="1937" t="str">
        <f>Text!$BA$25</f>
        <v xml:space="preserve">              Gebrauchsqualität</v>
      </c>
      <c r="D474" s="1937"/>
      <c r="E474" s="1937"/>
      <c r="F474" s="1"/>
      <c r="G474" s="1"/>
      <c r="H474" s="1"/>
      <c r="I474" s="1"/>
      <c r="J474" s="1"/>
      <c r="N474" s="2"/>
      <c r="O474" s="2"/>
      <c r="P474" s="2"/>
      <c r="Q474" s="755"/>
      <c r="R474" s="755"/>
      <c r="S474" s="755"/>
      <c r="T474" s="755"/>
      <c r="U474" s="1229"/>
      <c r="V474" s="1229"/>
      <c r="W474" s="132"/>
      <c r="X474" s="235"/>
      <c r="Y474" s="235"/>
      <c r="Z474" s="235"/>
      <c r="AA474" s="1405"/>
      <c r="AB474" s="1868" t="str">
        <f>Text!$BA$25</f>
        <v xml:space="preserve">              Gebrauchsqualität</v>
      </c>
      <c r="AC474" s="1869"/>
      <c r="AD474" s="1869"/>
      <c r="AE474" s="1869"/>
      <c r="AF474" s="1870"/>
      <c r="AG474" s="1874">
        <f>Text!$AM$28</f>
        <v>13</v>
      </c>
      <c r="AH474" s="235"/>
      <c r="AI474" s="242"/>
    </row>
    <row r="475" spans="1:39" s="240" customFormat="1" ht="10.4" hidden="1" customHeight="1" thickTop="1" thickBot="1">
      <c r="A475" s="1"/>
      <c r="B475" s="1863"/>
      <c r="C475" s="1937"/>
      <c r="D475" s="1937"/>
      <c r="E475" s="1937"/>
      <c r="F475" s="1"/>
      <c r="G475" s="1145">
        <f>Text!$AQ$28</f>
        <v>131</v>
      </c>
      <c r="H475" s="1758" t="str">
        <f>Text!$AR$28</f>
        <v>Räume sozialer Interaktion</v>
      </c>
      <c r="I475" s="1759"/>
      <c r="J475" s="1759"/>
      <c r="K475" s="1760"/>
      <c r="M475" s="1152"/>
      <c r="P475" s="145"/>
      <c r="Q475" s="755"/>
      <c r="R475" s="755"/>
      <c r="S475" s="755"/>
      <c r="T475" s="755"/>
      <c r="U475" s="1934" t="str">
        <f>Text!$AU$30</f>
        <v>Abkühlungsangebot halböffentliche Räume</v>
      </c>
      <c r="V475" s="1935"/>
      <c r="W475" s="1935"/>
      <c r="X475" s="1935"/>
      <c r="Y475" s="1936"/>
      <c r="Z475" s="1148" t="str">
        <f>Text!$AT$30</f>
        <v>K131</v>
      </c>
      <c r="AA475" s="1405"/>
      <c r="AB475" s="1868"/>
      <c r="AC475" s="1869"/>
      <c r="AD475" s="1869"/>
      <c r="AE475" s="1869"/>
      <c r="AF475" s="1870"/>
      <c r="AG475" s="1874"/>
      <c r="AH475" s="235"/>
    </row>
    <row r="476" spans="1:39" s="240" customFormat="1" ht="10.4" hidden="1" customHeight="1" thickTop="1" thickBot="1">
      <c r="A476" s="1"/>
      <c r="B476" s="1863"/>
      <c r="C476" s="1937"/>
      <c r="D476" s="1937"/>
      <c r="E476" s="1937"/>
      <c r="F476" s="1"/>
      <c r="G476" s="1558">
        <f>Text!$AQ$29</f>
        <v>132</v>
      </c>
      <c r="H476" s="1876" t="str">
        <f>Text!$AR$29</f>
        <v>Sicherheit</v>
      </c>
      <c r="I476" s="1877"/>
      <c r="J476" s="1877"/>
      <c r="K476" s="1878"/>
      <c r="M476" s="1227"/>
      <c r="N476" s="755"/>
      <c r="O476" s="1228"/>
      <c r="P476" s="145"/>
      <c r="Q476" s="755"/>
      <c r="R476" s="755"/>
      <c r="S476" s="755"/>
      <c r="T476" s="755"/>
      <c r="U476" s="1149"/>
      <c r="V476" s="1149"/>
      <c r="W476" s="235"/>
      <c r="X476" s="235"/>
      <c r="Y476" s="235"/>
      <c r="Z476" s="235"/>
      <c r="AA476" s="1405"/>
      <c r="AB476" s="1868"/>
      <c r="AC476" s="1869"/>
      <c r="AD476" s="1869"/>
      <c r="AE476" s="1869"/>
      <c r="AF476" s="1870"/>
      <c r="AG476" s="1874"/>
      <c r="AH476" s="235"/>
    </row>
    <row r="477" spans="1:39" s="44" customFormat="1" ht="10.4" hidden="1" customHeight="1" thickBot="1">
      <c r="A477" s="1"/>
      <c r="B477" s="1863"/>
      <c r="C477" s="1937"/>
      <c r="D477" s="1937"/>
      <c r="E477" s="1937"/>
      <c r="F477" s="1"/>
      <c r="G477" s="1"/>
      <c r="H477" s="1"/>
      <c r="I477" s="1"/>
      <c r="J477" s="1"/>
      <c r="K477" s="240"/>
      <c r="L477" s="121"/>
      <c r="M477" s="2"/>
      <c r="N477" s="2"/>
      <c r="O477" s="2"/>
      <c r="P477" s="2"/>
      <c r="Q477" s="755"/>
      <c r="R477" s="755"/>
      <c r="S477" s="755"/>
      <c r="T477" s="755"/>
      <c r="U477" s="755"/>
      <c r="V477" s="755"/>
      <c r="W477" s="235"/>
      <c r="X477" s="235"/>
      <c r="Y477" s="235"/>
      <c r="Z477" s="235"/>
      <c r="AA477" s="1405"/>
      <c r="AB477" s="1871"/>
      <c r="AC477" s="1872"/>
      <c r="AD477" s="1872"/>
      <c r="AE477" s="1872"/>
      <c r="AF477" s="1873"/>
      <c r="AG477" s="1874"/>
      <c r="AH477" s="235"/>
      <c r="AI477" s="243"/>
    </row>
    <row r="478" spans="1:39" s="44" customFormat="1" ht="2.15" hidden="1" customHeight="1" thickBot="1">
      <c r="A478" s="1"/>
      <c r="B478" s="1863">
        <f>Text!$AM$30</f>
        <v>14</v>
      </c>
      <c r="C478" s="1865" t="str">
        <f>Text!$BA$26</f>
        <v xml:space="preserve">           Wohlbefinden &amp; Gesundheit</v>
      </c>
      <c r="D478" s="1866"/>
      <c r="E478" s="1867"/>
      <c r="F478" s="1"/>
      <c r="G478" s="1"/>
      <c r="H478" s="1"/>
      <c r="I478" s="1"/>
      <c r="J478" s="1"/>
      <c r="K478" s="1"/>
      <c r="L478" s="122"/>
      <c r="M478" s="145"/>
      <c r="N478" s="755"/>
      <c r="O478" s="2"/>
      <c r="P478" s="2"/>
      <c r="Q478" s="755"/>
      <c r="R478" s="755"/>
      <c r="S478" s="755"/>
      <c r="T478" s="755"/>
      <c r="U478" s="755"/>
      <c r="V478" s="755"/>
      <c r="W478" s="235"/>
      <c r="X478" s="235"/>
      <c r="Y478" s="235"/>
      <c r="Z478" s="235"/>
      <c r="AA478" s="1405"/>
      <c r="AB478" s="1865" t="str">
        <f>Text!$BA$26</f>
        <v xml:space="preserve">           Wohlbefinden &amp; Gesundheit</v>
      </c>
      <c r="AC478" s="1866"/>
      <c r="AD478" s="1866"/>
      <c r="AE478" s="1866"/>
      <c r="AF478" s="1867"/>
      <c r="AG478" s="1874">
        <f>Text!$AM$30</f>
        <v>14</v>
      </c>
      <c r="AH478" s="235"/>
      <c r="AI478" s="243"/>
    </row>
    <row r="479" spans="1:39" s="44" customFormat="1" ht="10.4" hidden="1" customHeight="1" thickTop="1" thickBot="1">
      <c r="A479" s="1"/>
      <c r="B479" s="1863"/>
      <c r="C479" s="1868"/>
      <c r="D479" s="1869"/>
      <c r="E479" s="1870"/>
      <c r="F479" s="1"/>
      <c r="G479" s="1558" t="str">
        <f>Text!$AQ$30</f>
        <v>141</v>
      </c>
      <c r="H479" s="1876" t="str">
        <f>Text!$AR$30</f>
        <v>Raumluftqualität</v>
      </c>
      <c r="I479" s="1877"/>
      <c r="J479" s="1877"/>
      <c r="K479" s="1878"/>
      <c r="M479" s="1150"/>
      <c r="P479" s="1147"/>
      <c r="S479" s="1152"/>
      <c r="T479" s="18"/>
      <c r="W479" s="1147"/>
      <c r="AA479" s="1406"/>
      <c r="AB479" s="1868"/>
      <c r="AC479" s="1869"/>
      <c r="AD479" s="1869"/>
      <c r="AE479" s="1869"/>
      <c r="AF479" s="1870"/>
      <c r="AG479" s="1874"/>
    </row>
    <row r="480" spans="1:39" s="44" customFormat="1" ht="10.4" hidden="1" customHeight="1" thickTop="1" thickBot="1">
      <c r="A480" s="1"/>
      <c r="B480" s="1863"/>
      <c r="C480" s="1868"/>
      <c r="D480" s="1869"/>
      <c r="E480" s="1870"/>
      <c r="F480" s="1"/>
      <c r="G480" s="1558">
        <f>Text!$AQ$31</f>
        <v>142</v>
      </c>
      <c r="H480" s="1876" t="str">
        <f>Text!$AR$31</f>
        <v>Schadstoffe &amp; Strahlung</v>
      </c>
      <c r="I480" s="1877"/>
      <c r="J480" s="1877"/>
      <c r="K480" s="1878"/>
      <c r="M480" s="1152"/>
      <c r="P480" s="1155"/>
      <c r="S480" s="755"/>
      <c r="T480" s="755"/>
      <c r="U480" s="755"/>
      <c r="V480" s="755"/>
      <c r="W480" s="235"/>
      <c r="X480" s="235"/>
      <c r="Y480" s="235"/>
      <c r="Z480" s="235"/>
      <c r="AA480" s="1405"/>
      <c r="AB480" s="1868"/>
      <c r="AC480" s="1869"/>
      <c r="AD480" s="1869"/>
      <c r="AE480" s="1869"/>
      <c r="AF480" s="1870"/>
      <c r="AG480" s="1874"/>
      <c r="AH480" s="235"/>
      <c r="AI480" s="243"/>
    </row>
    <row r="481" spans="1:39" s="44" customFormat="1" ht="10.4" hidden="1" customHeight="1" thickTop="1" thickBot="1">
      <c r="A481" s="1"/>
      <c r="B481" s="1863"/>
      <c r="C481" s="1868"/>
      <c r="D481" s="1869"/>
      <c r="E481" s="1870"/>
      <c r="F481" s="1"/>
      <c r="G481" s="1145">
        <f>Text!$AQ$32</f>
        <v>143</v>
      </c>
      <c r="H481" s="1758" t="str">
        <f>Text!$AR$32</f>
        <v>Mikroklima</v>
      </c>
      <c r="I481" s="1759"/>
      <c r="J481" s="1759"/>
      <c r="K481" s="1760"/>
      <c r="AA481" s="1406"/>
      <c r="AB481" s="1868"/>
      <c r="AC481" s="1869"/>
      <c r="AD481" s="1869"/>
      <c r="AE481" s="1869"/>
      <c r="AF481" s="1870"/>
      <c r="AG481" s="1874"/>
    </row>
    <row r="482" spans="1:39" ht="10.4" hidden="1" customHeight="1" thickTop="1" thickBot="1">
      <c r="B482" s="1863"/>
      <c r="C482" s="1868"/>
      <c r="D482" s="1869"/>
      <c r="E482" s="1870"/>
      <c r="G482" s="1145">
        <f>Text!$AQ$33</f>
        <v>144</v>
      </c>
      <c r="H482" s="1758" t="str">
        <f>Text!$AR$33</f>
        <v>Sommerlicher Wärmeschutz</v>
      </c>
      <c r="I482" s="1759"/>
      <c r="J482" s="1759"/>
      <c r="K482" s="1760"/>
      <c r="M482" s="235"/>
      <c r="N482" s="235"/>
      <c r="O482" s="235"/>
      <c r="P482" s="235"/>
      <c r="Q482" s="235"/>
      <c r="R482" s="235"/>
      <c r="S482" s="235"/>
      <c r="T482" s="235"/>
      <c r="U482" s="1934" t="str">
        <f>Text!$AU$31</f>
        <v>Behaglichkeit im Klimawandel</v>
      </c>
      <c r="V482" s="1935"/>
      <c r="W482" s="1935"/>
      <c r="X482" s="1935"/>
      <c r="Y482" s="1936"/>
      <c r="Z482" s="1148" t="str">
        <f>Text!$AT$31</f>
        <v>K144</v>
      </c>
      <c r="AA482" s="1405"/>
      <c r="AB482" s="1868"/>
      <c r="AC482" s="1869"/>
      <c r="AD482" s="1869"/>
      <c r="AE482" s="1869"/>
      <c r="AF482" s="1870"/>
      <c r="AG482" s="1874"/>
      <c r="AH482" s="235"/>
      <c r="AI482"/>
      <c r="AJ482"/>
      <c r="AK482"/>
      <c r="AL482"/>
      <c r="AM482"/>
    </row>
    <row r="483" spans="1:39" s="44" customFormat="1" ht="10.4" hidden="1" customHeight="1" thickTop="1" thickBot="1">
      <c r="A483" s="1"/>
      <c r="B483" s="1863"/>
      <c r="C483" s="1868"/>
      <c r="D483" s="1869"/>
      <c r="E483" s="1870"/>
      <c r="F483" s="1"/>
      <c r="G483" s="1558">
        <f>Text!$AQ$34</f>
        <v>145</v>
      </c>
      <c r="H483" s="1876" t="str">
        <f>Text!$AR$34</f>
        <v>Winterlicher Wärmeschutz</v>
      </c>
      <c r="I483" s="1877"/>
      <c r="J483" s="1877"/>
      <c r="K483" s="1878"/>
      <c r="M483" s="1146"/>
      <c r="P483" s="1161"/>
      <c r="S483" s="59"/>
      <c r="T483" s="59"/>
      <c r="U483" s="1237"/>
      <c r="V483" s="1237"/>
      <c r="W483" s="235"/>
      <c r="X483" s="235"/>
      <c r="Y483" s="235"/>
      <c r="Z483" s="235"/>
      <c r="AA483" s="1404"/>
      <c r="AB483" s="1868"/>
      <c r="AC483" s="1869"/>
      <c r="AD483" s="1869"/>
      <c r="AE483" s="1869"/>
      <c r="AF483" s="1870"/>
      <c r="AG483" s="1874"/>
      <c r="AH483" s="236"/>
      <c r="AI483" s="237"/>
      <c r="AJ483" s="238"/>
      <c r="AK483" s="238"/>
      <c r="AL483" s="238"/>
      <c r="AM483" s="238"/>
    </row>
    <row r="484" spans="1:39" s="240" customFormat="1" ht="10.4" hidden="1" customHeight="1" thickTop="1" thickBot="1">
      <c r="A484" s="1"/>
      <c r="B484" s="1863"/>
      <c r="C484" s="1868"/>
      <c r="D484" s="1869"/>
      <c r="E484" s="1870"/>
      <c r="F484" s="1"/>
      <c r="G484" s="1558">
        <f>Text!$AQ$35</f>
        <v>146</v>
      </c>
      <c r="H484" s="1876" t="str">
        <f>Text!$AR$35</f>
        <v>Tageslicht</v>
      </c>
      <c r="I484" s="1877"/>
      <c r="J484" s="1877"/>
      <c r="K484" s="1878"/>
      <c r="M484" s="2"/>
      <c r="N484" s="2"/>
      <c r="O484" s="2"/>
      <c r="P484" s="2"/>
      <c r="Q484" s="2"/>
      <c r="S484" s="59"/>
      <c r="T484" s="59"/>
      <c r="U484" s="1934" t="str">
        <f>Text!$AU$32</f>
        <v>Visueller Komfort im Klimawandel</v>
      </c>
      <c r="V484" s="1935"/>
      <c r="W484" s="1935"/>
      <c r="X484" s="1935"/>
      <c r="Y484" s="1936"/>
      <c r="Z484" s="1148" t="str">
        <f>Text!$AT$32</f>
        <v>K146</v>
      </c>
      <c r="AA484" s="1405"/>
      <c r="AB484" s="1868"/>
      <c r="AC484" s="1869"/>
      <c r="AD484" s="1869"/>
      <c r="AE484" s="1869"/>
      <c r="AF484" s="1870"/>
      <c r="AG484" s="1874"/>
      <c r="AH484" s="235"/>
      <c r="AI484" s="239"/>
    </row>
    <row r="485" spans="1:39" s="240" customFormat="1" ht="10.4" hidden="1" customHeight="1" thickTop="1" thickBot="1">
      <c r="A485" s="1"/>
      <c r="B485" s="1864"/>
      <c r="C485" s="1871"/>
      <c r="D485" s="1872"/>
      <c r="E485" s="1873"/>
      <c r="F485" s="1"/>
      <c r="G485" s="1558">
        <f>Text!$AQ$36</f>
        <v>147</v>
      </c>
      <c r="H485" s="1876" t="str">
        <f>Text!$AR$36</f>
        <v>Schallschutz</v>
      </c>
      <c r="I485" s="1877"/>
      <c r="J485" s="1877"/>
      <c r="K485" s="1878"/>
      <c r="N485" s="2"/>
      <c r="O485" s="2"/>
      <c r="P485" s="2"/>
      <c r="Q485" s="2"/>
      <c r="R485" s="2"/>
      <c r="S485" s="59"/>
      <c r="T485" s="59"/>
      <c r="U485" s="1236"/>
      <c r="V485" s="1236"/>
      <c r="W485" s="235"/>
      <c r="X485" s="235"/>
      <c r="Y485" s="235"/>
      <c r="Z485" s="235"/>
      <c r="AA485" s="1405"/>
      <c r="AB485" s="1871"/>
      <c r="AC485" s="1872"/>
      <c r="AD485" s="1872"/>
      <c r="AE485" s="1872"/>
      <c r="AF485" s="1873"/>
      <c r="AG485" s="1875"/>
      <c r="AH485" s="235"/>
      <c r="AI485" s="241"/>
    </row>
    <row r="486" spans="1:39" s="240" customFormat="1" ht="2.15" hidden="1" customHeight="1" thickTop="1">
      <c r="A486" s="1"/>
      <c r="B486" s="1"/>
      <c r="C486" s="1"/>
      <c r="D486" s="1"/>
      <c r="E486" s="1"/>
      <c r="F486" s="1"/>
      <c r="G486" s="1"/>
      <c r="H486" s="1"/>
      <c r="I486" s="1"/>
      <c r="J486" s="1"/>
      <c r="N486" s="2"/>
      <c r="O486" s="2"/>
      <c r="P486" s="2"/>
      <c r="Q486" s="2"/>
      <c r="R486" s="2"/>
      <c r="S486" s="59"/>
      <c r="T486" s="59"/>
      <c r="U486" s="59"/>
      <c r="V486" s="59"/>
      <c r="W486" s="235"/>
      <c r="X486" s="235"/>
      <c r="Y486" s="235"/>
      <c r="Z486" s="235"/>
      <c r="AA486" s="235"/>
      <c r="AB486" s="235"/>
      <c r="AC486" s="236"/>
      <c r="AD486" s="236"/>
      <c r="AE486" s="236"/>
      <c r="AF486" s="236"/>
      <c r="AG486" s="236"/>
      <c r="AH486" s="235"/>
      <c r="AI486" s="241"/>
    </row>
    <row r="487" spans="1:39" s="240" customFormat="1" ht="10.4" hidden="1" customHeight="1">
      <c r="A487" s="1"/>
      <c r="B487" s="1"/>
      <c r="C487" s="1"/>
      <c r="D487" s="1"/>
      <c r="E487" s="1"/>
      <c r="F487" s="1"/>
      <c r="G487" s="1"/>
      <c r="H487" s="1"/>
      <c r="I487" s="1"/>
      <c r="J487" s="1"/>
      <c r="K487" s="1"/>
      <c r="L487" s="1"/>
      <c r="M487" s="1"/>
      <c r="N487" s="1"/>
      <c r="O487" s="1"/>
      <c r="P487" s="1"/>
      <c r="Q487" s="1"/>
      <c r="R487" s="1"/>
      <c r="S487" s="1"/>
      <c r="T487" s="1"/>
      <c r="U487" s="1"/>
      <c r="V487" s="1"/>
      <c r="W487" s="1"/>
      <c r="X487" s="235"/>
      <c r="Y487" s="235"/>
      <c r="Z487" s="235"/>
      <c r="AA487" s="235"/>
      <c r="AB487" s="236"/>
      <c r="AC487" s="236"/>
      <c r="AD487" s="236"/>
      <c r="AE487" s="236"/>
      <c r="AF487" s="236"/>
      <c r="AG487" s="235"/>
      <c r="AH487" s="235"/>
      <c r="AI487" s="239"/>
    </row>
    <row r="488" spans="1:39" s="240" customFormat="1" ht="30" hidden="1" customHeight="1">
      <c r="A488" s="1"/>
      <c r="B488" s="1853" t="str">
        <f>Text!$AK$38</f>
        <v>Wirtschaft</v>
      </c>
      <c r="C488" s="1853"/>
      <c r="D488" s="1853"/>
      <c r="E488" s="1853"/>
      <c r="F488" s="1252"/>
      <c r="G488" s="1862"/>
      <c r="H488" s="1862"/>
      <c r="I488" s="1862"/>
      <c r="J488" s="1862"/>
      <c r="K488" s="1862"/>
      <c r="L488" s="1862"/>
      <c r="M488" s="1862"/>
      <c r="N488" s="1862"/>
      <c r="O488" s="1862"/>
      <c r="P488" s="1"/>
      <c r="Q488" s="1854"/>
      <c r="R488" s="1854"/>
      <c r="S488" s="14"/>
      <c r="T488" s="14"/>
      <c r="U488" s="1862" t="str">
        <f>Text!C$572</f>
        <v>Im Bereich ''Wirtschaft'' wird ein Erfüllungsgrad von 0% erzielt</v>
      </c>
      <c r="V488" s="1862"/>
      <c r="W488" s="1862"/>
      <c r="X488" s="1862"/>
      <c r="Y488" s="1862"/>
      <c r="Z488" s="1862"/>
      <c r="AA488" s="1862"/>
      <c r="AB488" s="1862"/>
      <c r="AC488" s="1862"/>
      <c r="AD488" s="1862"/>
      <c r="AE488" s="1862"/>
      <c r="AF488" s="1862"/>
      <c r="AG488" s="1862"/>
      <c r="AH488" s="235"/>
      <c r="AI488" s="241"/>
    </row>
    <row r="489" spans="1:39" s="240" customFormat="1" ht="10.4" hidden="1" customHeight="1" thickBot="1">
      <c r="A489" s="1"/>
      <c r="B489" s="1"/>
      <c r="C489" s="1"/>
      <c r="D489" s="1"/>
      <c r="E489" s="1"/>
      <c r="F489" s="1"/>
      <c r="G489" s="1"/>
      <c r="H489" s="1"/>
      <c r="I489" s="1"/>
      <c r="J489" s="1"/>
      <c r="K489" s="1"/>
      <c r="L489"/>
      <c r="M489" s="1"/>
      <c r="N489" s="1"/>
      <c r="O489" s="1"/>
      <c r="P489" s="1"/>
      <c r="Q489" s="1"/>
      <c r="R489" s="1"/>
      <c r="S489" s="1"/>
      <c r="T489" s="1"/>
      <c r="U489" s="1"/>
      <c r="V489" s="1"/>
      <c r="W489" s="1"/>
      <c r="X489" s="235"/>
      <c r="Y489" s="235"/>
      <c r="Z489" s="235"/>
      <c r="AA489" s="235"/>
      <c r="AB489" s="235"/>
      <c r="AC489" s="235"/>
      <c r="AD489" s="235"/>
      <c r="AE489" s="235"/>
      <c r="AF489" s="235"/>
      <c r="AG489" s="235"/>
      <c r="AH489" s="235"/>
    </row>
    <row r="490" spans="1:39" s="240" customFormat="1" ht="2.15" hidden="1" customHeight="1" thickTop="1" thickBot="1">
      <c r="A490" s="1"/>
      <c r="B490" s="1855">
        <f>Text!$AM$38</f>
        <v>21</v>
      </c>
      <c r="C490" s="1856" t="str">
        <f>Text!$BA$28</f>
        <v xml:space="preserve">               Lebenszyklus</v>
      </c>
      <c r="D490" s="1857"/>
      <c r="E490" s="1858"/>
      <c r="F490" s="1"/>
      <c r="G490" s="1"/>
      <c r="H490" s="1"/>
      <c r="I490" s="1"/>
      <c r="J490" s="1"/>
      <c r="L490" s="1305"/>
      <c r="N490" s="2"/>
      <c r="O490" s="2"/>
      <c r="P490" s="2"/>
      <c r="Q490" s="2"/>
      <c r="R490" s="2"/>
      <c r="S490" s="59"/>
      <c r="T490" s="59"/>
      <c r="U490" s="235"/>
      <c r="V490" s="1237"/>
      <c r="W490" s="235"/>
      <c r="X490" s="235"/>
      <c r="Y490" s="235"/>
      <c r="Z490" s="235"/>
      <c r="AA490" s="235"/>
      <c r="AB490" s="1859" t="str">
        <f>Text!$BA$28</f>
        <v xml:space="preserve">               Lebenszyklus</v>
      </c>
      <c r="AC490" s="1860"/>
      <c r="AD490" s="1860"/>
      <c r="AE490" s="1860"/>
      <c r="AF490" s="1861"/>
      <c r="AG490" s="1883">
        <f>Text!$AM$38</f>
        <v>21</v>
      </c>
      <c r="AH490" s="235"/>
    </row>
    <row r="491" spans="1:39" s="44" customFormat="1" ht="10.4" hidden="1" customHeight="1" thickTop="1" thickBot="1">
      <c r="A491" s="1"/>
      <c r="B491" s="1847"/>
      <c r="C491" s="1856"/>
      <c r="D491" s="1857"/>
      <c r="E491" s="1858"/>
      <c r="F491" s="1"/>
      <c r="G491" s="1145">
        <f>Text!$AQ$38</f>
        <v>211</v>
      </c>
      <c r="H491" s="1908" t="str">
        <f>Text!$AR$38</f>
        <v>Lebenszykluskosten</v>
      </c>
      <c r="I491" s="1909"/>
      <c r="J491" s="1909"/>
      <c r="K491" s="1910"/>
      <c r="L491" s="1306"/>
      <c r="M491" s="1151"/>
      <c r="N491" s="240"/>
      <c r="O491" s="240"/>
      <c r="P491" s="145"/>
      <c r="Q491" s="755"/>
      <c r="R491" s="755"/>
      <c r="S491" s="755"/>
      <c r="T491" s="1228"/>
      <c r="U491" s="1911" t="str">
        <f>Text!$AU$38</f>
        <v>Lebenszyklusbetrachtung im Klimawandel</v>
      </c>
      <c r="V491" s="1911"/>
      <c r="W491" s="1911"/>
      <c r="X491" s="1911"/>
      <c r="Y491" s="1911"/>
      <c r="Z491" s="1148" t="str">
        <f>Text!$AT$38</f>
        <v>K211</v>
      </c>
      <c r="AA491" s="235"/>
      <c r="AB491" s="1859"/>
      <c r="AC491" s="1860"/>
      <c r="AD491" s="1860"/>
      <c r="AE491" s="1860"/>
      <c r="AF491" s="1861"/>
      <c r="AG491" s="1884"/>
      <c r="AH491" s="235"/>
      <c r="AI491" s="243"/>
    </row>
    <row r="492" spans="1:39" s="44" customFormat="1" ht="10.4" hidden="1" customHeight="1" thickTop="1" thickBot="1">
      <c r="A492" s="1"/>
      <c r="B492" s="1847"/>
      <c r="C492" s="1856"/>
      <c r="D492" s="1857"/>
      <c r="E492" s="1858"/>
      <c r="F492" s="1"/>
      <c r="G492" s="1558">
        <f>Text!$AQ$39</f>
        <v>212</v>
      </c>
      <c r="H492" s="1876" t="str">
        <f>Text!$AR$39</f>
        <v>Bewirtschaftungsgerechte Planung &amp; Realisierung</v>
      </c>
      <c r="I492" s="1877"/>
      <c r="J492" s="1877"/>
      <c r="K492" s="1878"/>
      <c r="L492" s="1306"/>
      <c r="M492" s="219"/>
      <c r="N492" s="240"/>
      <c r="O492" s="240"/>
      <c r="P492" s="145"/>
      <c r="Q492" s="755"/>
      <c r="R492" s="755"/>
      <c r="S492" s="755"/>
      <c r="T492" s="755"/>
      <c r="U492" s="236"/>
      <c r="V492" s="1238"/>
      <c r="W492" s="236"/>
      <c r="X492" s="236"/>
      <c r="Y492" s="236"/>
      <c r="Z492" s="236"/>
      <c r="AA492" s="235"/>
      <c r="AB492" s="1859"/>
      <c r="AC492" s="1860"/>
      <c r="AD492" s="1860"/>
      <c r="AE492" s="1860"/>
      <c r="AF492" s="1861"/>
      <c r="AG492" s="1884"/>
      <c r="AH492" s="235"/>
      <c r="AI492" s="243"/>
    </row>
    <row r="493" spans="1:39" s="44" customFormat="1" ht="10.4" hidden="1" customHeight="1" thickTop="1" thickBot="1">
      <c r="A493" s="1"/>
      <c r="B493" s="1847"/>
      <c r="C493" s="1856"/>
      <c r="D493" s="1857"/>
      <c r="E493" s="1858"/>
      <c r="F493" s="1"/>
      <c r="G493" s="1145">
        <f>Text!$AQ$40</f>
        <v>213</v>
      </c>
      <c r="H493" s="1912" t="str">
        <f>Text!$AR$40</f>
        <v>Wiederverwendung &amp; Systemtrennung</v>
      </c>
      <c r="I493" s="1913"/>
      <c r="J493" s="1913"/>
      <c r="K493" s="1914"/>
      <c r="L493" s="1306"/>
      <c r="M493" s="1227"/>
      <c r="N493" s="755"/>
      <c r="O493" s="1228"/>
      <c r="P493" s="145"/>
      <c r="Q493" s="755"/>
      <c r="R493" s="755"/>
      <c r="S493" s="755"/>
      <c r="T493" s="755"/>
      <c r="U493" s="1149"/>
      <c r="V493" s="1149"/>
      <c r="W493" s="1149"/>
      <c r="X493" s="236"/>
      <c r="Y493" s="236"/>
      <c r="Z493" s="236"/>
      <c r="AA493" s="235"/>
      <c r="AB493" s="1859"/>
      <c r="AC493" s="1860"/>
      <c r="AD493" s="1860"/>
      <c r="AE493" s="1860"/>
      <c r="AF493" s="1861"/>
      <c r="AG493" s="1884"/>
      <c r="AH493" s="235"/>
      <c r="AI493" s="243"/>
    </row>
    <row r="494" spans="1:39" s="44" customFormat="1" ht="2.15" hidden="1" customHeight="1" thickBot="1">
      <c r="A494" s="1"/>
      <c r="B494" s="1847"/>
      <c r="C494" s="1856"/>
      <c r="D494" s="1857"/>
      <c r="E494" s="1858"/>
      <c r="F494" s="1"/>
      <c r="G494" s="1"/>
      <c r="H494" s="1"/>
      <c r="I494" s="1"/>
      <c r="J494" s="1"/>
      <c r="K494" s="240"/>
      <c r="L494" s="240"/>
      <c r="M494" s="240"/>
      <c r="N494" s="2"/>
      <c r="O494" s="2"/>
      <c r="P494" s="2"/>
      <c r="Q494" s="755"/>
      <c r="R494" s="755"/>
      <c r="S494" s="755"/>
      <c r="T494" s="755"/>
      <c r="U494" s="1149"/>
      <c r="V494" s="1149"/>
      <c r="W494" s="1149"/>
      <c r="X494" s="236"/>
      <c r="Y494" s="236"/>
      <c r="Z494" s="236"/>
      <c r="AA494" s="235"/>
      <c r="AB494" s="1859" t="str">
        <f>Text!$BA$29</f>
        <v xml:space="preserve">               Nutzbarkeit</v>
      </c>
      <c r="AC494" s="1860"/>
      <c r="AD494" s="1860"/>
      <c r="AE494" s="1860"/>
      <c r="AF494" s="1861"/>
      <c r="AG494" s="1884">
        <f>Text!$AM$41</f>
        <v>22</v>
      </c>
    </row>
    <row r="495" spans="1:39" s="44" customFormat="1" ht="10.4" hidden="1" customHeight="1" thickTop="1" thickBot="1">
      <c r="A495" s="1"/>
      <c r="B495" s="1847">
        <f>Text!$AM$41</f>
        <v>22</v>
      </c>
      <c r="C495" s="1916" t="str">
        <f>Text!$BA$29</f>
        <v xml:space="preserve">               Nutzbarkeit</v>
      </c>
      <c r="D495" s="1917"/>
      <c r="E495" s="1918"/>
      <c r="F495" s="1"/>
      <c r="G495" s="1145">
        <f>Text!$AQ$41</f>
        <v>221</v>
      </c>
      <c r="H495" s="1925" t="str">
        <f>Text!$AR$41</f>
        <v>Naturgefahren</v>
      </c>
      <c r="I495" s="1926"/>
      <c r="J495" s="1926"/>
      <c r="K495" s="1927"/>
      <c r="L495" s="1306"/>
      <c r="M495" s="240"/>
      <c r="N495" s="2"/>
      <c r="O495" s="2"/>
      <c r="P495" s="2"/>
      <c r="Q495" s="2"/>
      <c r="R495" s="2"/>
      <c r="S495" s="59"/>
      <c r="T495" s="59"/>
      <c r="U495" s="1928" t="str">
        <f>Text!$AU$39</f>
        <v>Standort &amp; Klimawandel</v>
      </c>
      <c r="V495" s="1929"/>
      <c r="W495" s="1929"/>
      <c r="X495" s="1929"/>
      <c r="Y495" s="1930"/>
      <c r="Z495" s="1148" t="str">
        <f>Text!$AT$39</f>
        <v>K221</v>
      </c>
      <c r="AA495" s="235"/>
      <c r="AB495" s="1859"/>
      <c r="AC495" s="1860"/>
      <c r="AD495" s="1860"/>
      <c r="AE495" s="1860"/>
      <c r="AF495" s="1861"/>
      <c r="AG495" s="1884"/>
      <c r="AH495" s="235"/>
      <c r="AI495" s="243"/>
    </row>
    <row r="496" spans="1:39" s="44" customFormat="1" ht="10.4" hidden="1" customHeight="1" thickTop="1" thickBot="1">
      <c r="A496" s="1"/>
      <c r="B496" s="1847"/>
      <c r="C496" s="1919"/>
      <c r="D496" s="1920"/>
      <c r="E496" s="1921"/>
      <c r="F496" s="1"/>
      <c r="G496" s="1558">
        <f>Text!$AQ$42</f>
        <v>222</v>
      </c>
      <c r="H496" s="1876" t="str">
        <f>Text!$AR$42</f>
        <v>Nutzungsdichte</v>
      </c>
      <c r="I496" s="1877"/>
      <c r="J496" s="1877"/>
      <c r="K496" s="1878"/>
      <c r="L496" s="1306"/>
      <c r="M496" s="1151"/>
      <c r="N496" s="240"/>
      <c r="O496" s="240"/>
      <c r="P496" s="145"/>
      <c r="Q496" s="755"/>
      <c r="R496" s="755"/>
      <c r="S496" s="755"/>
      <c r="T496" s="755"/>
      <c r="U496" s="1149"/>
      <c r="V496" s="1149"/>
      <c r="W496" s="649"/>
      <c r="X496" s="235"/>
      <c r="Y496" s="235"/>
      <c r="Z496" s="235"/>
      <c r="AA496" s="235"/>
      <c r="AB496" s="1859"/>
      <c r="AC496" s="1860"/>
      <c r="AD496" s="1860"/>
      <c r="AE496" s="1860"/>
      <c r="AF496" s="1861"/>
      <c r="AG496" s="1884"/>
    </row>
    <row r="497" spans="1:36" s="44" customFormat="1" ht="10" hidden="1" customHeight="1" thickTop="1" thickBot="1">
      <c r="A497" s="1"/>
      <c r="B497" s="1847"/>
      <c r="C497" s="1922"/>
      <c r="D497" s="1923"/>
      <c r="E497" s="1924"/>
      <c r="F497" s="1"/>
      <c r="G497" s="1145">
        <f>Text!$AQ$43</f>
        <v>223</v>
      </c>
      <c r="H497" s="1931" t="str">
        <f>Text!$AR$43</f>
        <v>Nutzungsflexibilität &amp; -variabilität</v>
      </c>
      <c r="I497" s="1932"/>
      <c r="J497" s="1932"/>
      <c r="K497" s="1933"/>
      <c r="L497" s="1306"/>
      <c r="M497" s="1227"/>
      <c r="N497" s="755"/>
      <c r="O497" s="1228"/>
      <c r="P497" s="145"/>
      <c r="Q497" s="755"/>
      <c r="R497" s="755"/>
      <c r="S497" s="755"/>
      <c r="T497" s="755"/>
      <c r="U497" s="1911" t="str">
        <f>Text!$AU$40</f>
        <v>Klima-Flexibilität &amp; Gebrauchstauglichkeit</v>
      </c>
      <c r="V497" s="1911"/>
      <c r="W497" s="1911"/>
      <c r="X497" s="1911"/>
      <c r="Y497" s="1911"/>
      <c r="Z497" s="1148" t="str">
        <f>Text!$AT$40</f>
        <v>K223</v>
      </c>
      <c r="AA497" s="235"/>
      <c r="AB497" s="1859"/>
      <c r="AC497" s="1860"/>
      <c r="AD497" s="1860"/>
      <c r="AE497" s="1860"/>
      <c r="AF497" s="1861"/>
      <c r="AG497" s="1915"/>
      <c r="AH497" s="235"/>
      <c r="AI497" s="241"/>
      <c r="AJ497" s="241"/>
    </row>
    <row r="498" spans="1:36" s="44" customFormat="1" ht="2.15" hidden="1" customHeight="1" thickBot="1">
      <c r="A498" s="1"/>
      <c r="B498" s="1847">
        <f>Text!$AM$44</f>
        <v>23</v>
      </c>
      <c r="C498" s="1849" t="str">
        <f>Text!$BA$30</f>
        <v xml:space="preserve">               Regionalökonomie</v>
      </c>
      <c r="D498" s="1850"/>
      <c r="E498" s="1851"/>
      <c r="F498" s="1"/>
      <c r="G498" s="1"/>
      <c r="H498" s="1"/>
      <c r="I498" s="1"/>
      <c r="J498" s="1"/>
      <c r="K498" s="240"/>
      <c r="L498" s="240"/>
      <c r="M498" s="240"/>
      <c r="N498" s="2"/>
      <c r="O498" s="2"/>
      <c r="P498" s="2"/>
      <c r="Q498" s="755"/>
      <c r="R498" s="755"/>
      <c r="S498" s="755"/>
      <c r="T498" s="755"/>
      <c r="U498" s="1149"/>
      <c r="V498" s="1149"/>
      <c r="W498" s="649"/>
      <c r="X498" s="235"/>
      <c r="Y498" s="235"/>
      <c r="Z498" s="235"/>
      <c r="AA498" s="235"/>
      <c r="AB498" s="1852"/>
      <c r="AC498" s="1852"/>
      <c r="AD498" s="1852"/>
      <c r="AE498" s="1852"/>
      <c r="AF498" s="1852"/>
      <c r="AG498" s="1698"/>
    </row>
    <row r="499" spans="1:36" ht="10.4" hidden="1" customHeight="1" thickTop="1" thickBot="1">
      <c r="B499" s="1847"/>
      <c r="C499" s="1849"/>
      <c r="D499" s="1850"/>
      <c r="E499" s="1851"/>
      <c r="G499" s="1558">
        <f>Text!$AQ$44</f>
        <v>231</v>
      </c>
      <c r="H499" s="1876" t="str">
        <f>Text!$AR$44</f>
        <v>Regionale Wertschöpfung</v>
      </c>
      <c r="I499" s="1877"/>
      <c r="J499" s="1877"/>
      <c r="K499" s="1878"/>
      <c r="L499" s="1306"/>
      <c r="M499" s="240"/>
      <c r="N499" s="2"/>
      <c r="O499" s="2"/>
      <c r="P499" s="2"/>
      <c r="Q499" s="2"/>
      <c r="R499" s="2"/>
      <c r="S499" s="59"/>
      <c r="T499" s="59"/>
      <c r="AA499" s="235"/>
      <c r="AB499" s="1852"/>
      <c r="AC499" s="1852"/>
      <c r="AD499" s="1852"/>
      <c r="AE499" s="1852"/>
      <c r="AF499" s="1852"/>
      <c r="AG499" s="1698"/>
    </row>
    <row r="500" spans="1:36" ht="10.4" hidden="1" customHeight="1" thickBot="1">
      <c r="B500" s="1847"/>
      <c r="C500" s="1849"/>
      <c r="D500" s="1850"/>
      <c r="E500" s="1851"/>
      <c r="K500" s="240"/>
      <c r="L500" s="240"/>
      <c r="M500" s="240"/>
      <c r="N500" s="2"/>
      <c r="O500" s="2"/>
      <c r="P500" s="2"/>
      <c r="Q500" s="2"/>
      <c r="R500" s="2"/>
      <c r="S500" s="59"/>
      <c r="T500" s="59"/>
      <c r="U500" s="235"/>
      <c r="V500" s="1237"/>
      <c r="W500" s="235"/>
      <c r="X500" s="235"/>
      <c r="Y500" s="235"/>
      <c r="Z500" s="235"/>
      <c r="AA500" s="235"/>
      <c r="AB500" s="1852"/>
      <c r="AC500" s="1852"/>
      <c r="AD500" s="1852"/>
      <c r="AE500" s="1852"/>
      <c r="AF500" s="1852"/>
      <c r="AG500" s="1698"/>
    </row>
    <row r="501" spans="1:36" ht="10.4" hidden="1" customHeight="1" thickBot="1">
      <c r="B501" s="1848"/>
      <c r="C501" s="1849"/>
      <c r="D501" s="1850"/>
      <c r="E501" s="1851"/>
      <c r="K501" s="240"/>
      <c r="L501" s="240"/>
      <c r="M501" s="240"/>
      <c r="N501" s="2"/>
      <c r="O501" s="2"/>
      <c r="P501" s="2"/>
      <c r="Q501" s="755"/>
      <c r="R501" s="755"/>
      <c r="S501" s="755"/>
      <c r="T501" s="1228"/>
      <c r="AA501" s="235"/>
      <c r="AB501" s="1852"/>
      <c r="AC501" s="1852"/>
      <c r="AD501" s="1852"/>
      <c r="AE501" s="1852"/>
      <c r="AF501" s="1852"/>
      <c r="AG501" s="1698"/>
    </row>
    <row r="502" spans="1:36" ht="10.4" hidden="1" customHeight="1" thickTop="1"/>
    <row r="503" spans="1:36" ht="30" hidden="1" customHeight="1">
      <c r="B503" s="1891" t="str">
        <f>Text!$AK$46</f>
        <v>Umwelt</v>
      </c>
      <c r="C503" s="1891"/>
      <c r="D503" s="1891"/>
      <c r="E503" s="1891"/>
      <c r="F503" s="1249"/>
      <c r="G503" s="1892"/>
      <c r="H503" s="1892"/>
      <c r="I503" s="1892"/>
      <c r="J503" s="1892"/>
      <c r="K503" s="1892"/>
      <c r="L503" s="1892"/>
      <c r="M503" s="1892"/>
      <c r="N503" s="1892"/>
      <c r="O503" s="1892"/>
      <c r="Q503" s="1854"/>
      <c r="R503" s="1854"/>
      <c r="S503" s="14"/>
      <c r="T503" s="14"/>
      <c r="U503" s="1892" t="str">
        <f>Text!C$573</f>
        <v>Im Bereich ''Umwelt'' wird ein Erfüllungsgrad von 0% erzielt</v>
      </c>
      <c r="V503" s="1892"/>
      <c r="W503" s="1892"/>
      <c r="X503" s="1892"/>
      <c r="Y503" s="1892"/>
      <c r="Z503" s="1892"/>
      <c r="AA503" s="1892"/>
      <c r="AB503" s="1892"/>
      <c r="AC503" s="1892"/>
      <c r="AD503" s="1892"/>
      <c r="AE503" s="1892"/>
      <c r="AF503" s="1892"/>
      <c r="AG503" s="1892"/>
    </row>
    <row r="504" spans="1:36" ht="10.4" hidden="1" customHeight="1" thickBot="1">
      <c r="AA504" s="1"/>
    </row>
    <row r="505" spans="1:36" s="240" customFormat="1" ht="2.15" hidden="1" customHeight="1" thickTop="1" thickBot="1">
      <c r="A505" s="1"/>
      <c r="B505" s="1882">
        <f>Text!$AM$46</f>
        <v>31</v>
      </c>
      <c r="C505" s="1835" t="str">
        <f>Text!$BA$33</f>
        <v xml:space="preserve">               Klimaschutz</v>
      </c>
      <c r="D505" s="1836"/>
      <c r="E505" s="1837"/>
      <c r="F505" s="1"/>
      <c r="G505" s="1"/>
      <c r="H505" s="1"/>
      <c r="I505" s="1"/>
      <c r="J505" s="1"/>
      <c r="N505" s="2"/>
      <c r="O505" s="2"/>
      <c r="P505" s="2"/>
      <c r="Q505" s="2"/>
      <c r="R505" s="2"/>
      <c r="S505" s="59"/>
      <c r="T505" s="59"/>
      <c r="U505" s="235"/>
      <c r="V505" s="1237"/>
      <c r="W505" s="235"/>
      <c r="X505" s="235"/>
      <c r="Y505" s="235"/>
      <c r="Z505" s="235"/>
      <c r="AA505" s="235"/>
      <c r="AB505" s="1844" t="str">
        <f>Text!$BA$33</f>
        <v xml:space="preserve">               Klimaschutz</v>
      </c>
      <c r="AC505" s="1845"/>
      <c r="AD505" s="1845"/>
      <c r="AE505" s="1845"/>
      <c r="AF505" s="1846"/>
      <c r="AG505" s="1883">
        <f>Text!$AM$46</f>
        <v>31</v>
      </c>
      <c r="AH505" s="235"/>
    </row>
    <row r="506" spans="1:36" s="44" customFormat="1" ht="10.4" hidden="1" customHeight="1" thickTop="1" thickBot="1">
      <c r="A506" s="1"/>
      <c r="B506" s="1833"/>
      <c r="C506" s="1838"/>
      <c r="D506" s="1839"/>
      <c r="E506" s="1840"/>
      <c r="F506" s="1"/>
      <c r="G506" s="1145">
        <f>Text!$AQ$46</f>
        <v>311</v>
      </c>
      <c r="H506" s="1885" t="str">
        <f>Text!$AR$46</f>
        <v>Treibhausgasemissionen Erstellung</v>
      </c>
      <c r="I506" s="1886"/>
      <c r="J506" s="1886"/>
      <c r="K506" s="1887"/>
      <c r="L506" s="1306"/>
      <c r="M506" s="1151"/>
      <c r="N506" s="240"/>
      <c r="O506" s="240"/>
      <c r="P506" s="145"/>
      <c r="Q506" s="755"/>
      <c r="R506" s="755"/>
      <c r="S506" s="755"/>
      <c r="T506" s="1228"/>
      <c r="AA506" s="235"/>
      <c r="AB506" s="1844"/>
      <c r="AC506" s="1845"/>
      <c r="AD506" s="1845"/>
      <c r="AE506" s="1845"/>
      <c r="AF506" s="1846"/>
      <c r="AG506" s="1884"/>
      <c r="AH506" s="235"/>
      <c r="AI506" s="243"/>
    </row>
    <row r="507" spans="1:36" s="44" customFormat="1" ht="10.4" hidden="1" customHeight="1" thickTop="1" thickBot="1">
      <c r="A507" s="1"/>
      <c r="B507" s="1833"/>
      <c r="C507" s="1838"/>
      <c r="D507" s="1839"/>
      <c r="E507" s="1840"/>
      <c r="F507" s="1"/>
      <c r="G507" s="1145">
        <f>Text!$AQ$47</f>
        <v>312</v>
      </c>
      <c r="H507" s="1885" t="str">
        <f>Text!$AR$47</f>
        <v>Treibhausgasemissionen Betrieb</v>
      </c>
      <c r="I507" s="1886"/>
      <c r="J507" s="1886"/>
      <c r="K507" s="1887"/>
      <c r="L507" s="1306"/>
      <c r="M507" s="219"/>
      <c r="N507" s="240"/>
      <c r="O507" s="240"/>
      <c r="P507" s="145"/>
      <c r="Q507" s="755"/>
      <c r="R507" s="755"/>
      <c r="S507" s="755"/>
      <c r="T507" s="755"/>
      <c r="U507" s="1888" t="str">
        <f>Text!$AU$46</f>
        <v>THGE im Klimawandel</v>
      </c>
      <c r="V507" s="1889"/>
      <c r="W507" s="1889"/>
      <c r="X507" s="1889"/>
      <c r="Y507" s="1890"/>
      <c r="Z507" s="1138" t="str">
        <f>Text!$AT$46</f>
        <v>K312</v>
      </c>
      <c r="AA507" s="235"/>
      <c r="AB507" s="1844"/>
      <c r="AC507" s="1845"/>
      <c r="AD507" s="1845"/>
      <c r="AE507" s="1845"/>
      <c r="AF507" s="1846"/>
      <c r="AG507" s="1884"/>
      <c r="AH507" s="235"/>
      <c r="AI507" s="243"/>
    </row>
    <row r="508" spans="1:36" s="44" customFormat="1" ht="10.4" hidden="1" customHeight="1" thickTop="1" thickBot="1">
      <c r="A508" s="1"/>
      <c r="B508" s="1833"/>
      <c r="C508" s="1838"/>
      <c r="D508" s="1839"/>
      <c r="E508" s="1840"/>
      <c r="F508" s="1"/>
      <c r="G508" s="1145">
        <f>Text!$AQ$48</f>
        <v>313</v>
      </c>
      <c r="H508" s="1885" t="str">
        <f>Text!$AR$48</f>
        <v>Treibhausgasemissionen Mobilität</v>
      </c>
      <c r="I508" s="1886"/>
      <c r="J508" s="1886"/>
      <c r="K508" s="1887"/>
      <c r="L508" s="1306"/>
      <c r="M508" s="1227"/>
      <c r="N508" s="755"/>
      <c r="O508" s="1228"/>
      <c r="P508" s="145"/>
      <c r="Q508" s="755"/>
      <c r="R508" s="755"/>
      <c r="S508" s="755"/>
      <c r="T508" s="755"/>
      <c r="U508" s="1149"/>
      <c r="V508" s="1149"/>
      <c r="W508" s="1149"/>
      <c r="X508" s="236"/>
      <c r="Y508" s="236"/>
      <c r="Z508" s="236"/>
      <c r="AA508" s="235"/>
      <c r="AB508" s="1844"/>
      <c r="AC508" s="1845"/>
      <c r="AD508" s="1845"/>
      <c r="AE508" s="1845"/>
      <c r="AF508" s="1846"/>
      <c r="AG508" s="1884"/>
      <c r="AH508" s="235"/>
      <c r="AI508" s="243"/>
    </row>
    <row r="509" spans="1:36" s="44" customFormat="1" ht="2.15" hidden="1" customHeight="1" thickTop="1" thickBot="1">
      <c r="A509" s="1"/>
      <c r="B509" s="1833"/>
      <c r="C509" s="1841"/>
      <c r="D509" s="1842"/>
      <c r="E509" s="1843"/>
      <c r="F509" s="1"/>
      <c r="G509" s="1"/>
      <c r="H509" s="1"/>
      <c r="I509" s="1"/>
      <c r="J509" s="1"/>
      <c r="K509" s="240"/>
      <c r="L509" s="240"/>
      <c r="M509" s="240"/>
      <c r="N509" s="2"/>
      <c r="O509" s="2"/>
      <c r="P509" s="2"/>
      <c r="Q509" s="755"/>
      <c r="R509" s="755"/>
      <c r="S509" s="755"/>
      <c r="T509" s="755"/>
      <c r="U509" s="1149"/>
      <c r="V509" s="1149"/>
      <c r="W509" s="1149"/>
      <c r="X509" s="236"/>
      <c r="Y509" s="236"/>
      <c r="Z509" s="236"/>
      <c r="AA509" s="235"/>
      <c r="AB509" s="1844" t="str">
        <f>Text!$BA$34</f>
        <v xml:space="preserve">               Energie</v>
      </c>
      <c r="AC509" s="1845"/>
      <c r="AD509" s="1845"/>
      <c r="AE509" s="1845"/>
      <c r="AF509" s="1846"/>
      <c r="AG509" s="1884"/>
    </row>
    <row r="510" spans="1:36" s="44" customFormat="1" ht="10.4" hidden="1" customHeight="1" thickTop="1" thickBot="1">
      <c r="A510" s="1"/>
      <c r="B510" s="1833">
        <f>Text!$AM$49</f>
        <v>32</v>
      </c>
      <c r="C510" s="1835" t="str">
        <f>Text!$BA$34</f>
        <v xml:space="preserve">               Energie</v>
      </c>
      <c r="D510" s="1836"/>
      <c r="E510" s="1837"/>
      <c r="F510" s="1"/>
      <c r="G510" s="1558">
        <f>Text!$AQ$49</f>
        <v>321</v>
      </c>
      <c r="H510" s="1876" t="str">
        <f>Text!$AR$49</f>
        <v>Energiebedarf Erstellung</v>
      </c>
      <c r="I510" s="1877"/>
      <c r="J510" s="1877"/>
      <c r="K510" s="1878"/>
      <c r="L510" s="1306"/>
      <c r="M510" s="240"/>
      <c r="N510" s="2"/>
      <c r="O510" s="2"/>
      <c r="P510" s="2"/>
      <c r="Q510" s="2"/>
      <c r="R510" s="2"/>
      <c r="S510" s="59"/>
      <c r="T510" s="59"/>
      <c r="U510" s="1239"/>
      <c r="V510" s="1238"/>
      <c r="W510" s="236"/>
      <c r="X510" s="236"/>
      <c r="Y510" s="236"/>
      <c r="Z510" s="821"/>
      <c r="AA510" s="235"/>
      <c r="AB510" s="1844"/>
      <c r="AC510" s="1845"/>
      <c r="AD510" s="1845"/>
      <c r="AE510" s="1845"/>
      <c r="AF510" s="1846"/>
      <c r="AG510" s="1884">
        <f>Text!$AM$49</f>
        <v>32</v>
      </c>
      <c r="AH510" s="235"/>
      <c r="AI510" s="243"/>
    </row>
    <row r="511" spans="1:36" s="44" customFormat="1" ht="10.4" hidden="1" customHeight="1" thickTop="1" thickBot="1">
      <c r="A511" s="1"/>
      <c r="B511" s="1833"/>
      <c r="C511" s="1838"/>
      <c r="D511" s="1839"/>
      <c r="E511" s="1840"/>
      <c r="F511" s="1"/>
      <c r="G511" s="1558">
        <f>Text!$AQ$50</f>
        <v>322</v>
      </c>
      <c r="H511" s="1876" t="str">
        <f>Text!$AR$50</f>
        <v>Energiebedarf Betrieb</v>
      </c>
      <c r="I511" s="1877"/>
      <c r="J511" s="1877"/>
      <c r="K511" s="1878"/>
      <c r="L511" s="1306"/>
      <c r="M511" s="1151"/>
      <c r="N511" s="240"/>
      <c r="O511" s="240"/>
      <c r="P511" s="145"/>
      <c r="Q511" s="755"/>
      <c r="R511" s="755"/>
      <c r="S511" s="755"/>
      <c r="T511" s="755"/>
      <c r="U511" s="1879" t="str">
        <f>Text!$AU$47</f>
        <v>Betriebsenergie im Klimawandel</v>
      </c>
      <c r="V511" s="1880"/>
      <c r="W511" s="1880"/>
      <c r="X511" s="1880"/>
      <c r="Y511" s="1881"/>
      <c r="Z511" s="1138" t="str">
        <f>Text!$AT$47</f>
        <v>K322</v>
      </c>
      <c r="AA511" s="235"/>
      <c r="AB511" s="1844"/>
      <c r="AC511" s="1845"/>
      <c r="AD511" s="1845"/>
      <c r="AE511" s="1845"/>
      <c r="AF511" s="1846"/>
      <c r="AG511" s="1884"/>
    </row>
    <row r="512" spans="1:36" s="44" customFormat="1" ht="10.4" hidden="1" customHeight="1" thickTop="1" thickBot="1">
      <c r="A512" s="1"/>
      <c r="B512" s="1833"/>
      <c r="C512" s="1841"/>
      <c r="D512" s="1842"/>
      <c r="E512" s="1843"/>
      <c r="F512" s="1"/>
      <c r="G512" s="1"/>
      <c r="H512" s="1"/>
      <c r="I512" s="1"/>
      <c r="J512" s="1"/>
      <c r="K512" s="240"/>
      <c r="L512" s="240"/>
      <c r="M512" s="1227"/>
      <c r="N512" s="755"/>
      <c r="O512" s="1228"/>
      <c r="P512" s="145"/>
      <c r="Q512" s="755"/>
      <c r="R512" s="755"/>
      <c r="S512" s="755"/>
      <c r="T512" s="755"/>
      <c r="AA512" s="235"/>
      <c r="AB512" s="1844"/>
      <c r="AC512" s="1845"/>
      <c r="AD512" s="1845"/>
      <c r="AE512" s="1845"/>
      <c r="AF512" s="1846"/>
      <c r="AG512" s="1884"/>
      <c r="AH512" s="235"/>
      <c r="AI512" s="241"/>
      <c r="AJ512" s="241"/>
    </row>
    <row r="513" spans="1:36" s="44" customFormat="1" ht="2.15" hidden="1" customHeight="1" thickBot="1">
      <c r="A513" s="1"/>
      <c r="B513" s="1833">
        <f>Text!$AM$51</f>
        <v>33</v>
      </c>
      <c r="C513" s="1894" t="str">
        <f>Text!$BA$35</f>
        <v xml:space="preserve">                  Ressourcenschonung 
                   &amp; Umweltschutz</v>
      </c>
      <c r="D513" s="1895"/>
      <c r="E513" s="1896"/>
      <c r="F513" s="1"/>
      <c r="G513" s="1"/>
      <c r="H513" s="1"/>
      <c r="I513" s="1"/>
      <c r="J513" s="1"/>
      <c r="K513" s="240"/>
      <c r="L513" s="240"/>
      <c r="M513" s="240"/>
      <c r="N513" s="755"/>
      <c r="O513" s="2"/>
      <c r="P513" s="2"/>
      <c r="Q513" s="755"/>
      <c r="R513" s="755"/>
      <c r="S513" s="755"/>
      <c r="T513" s="755"/>
      <c r="U513" s="1149"/>
      <c r="V513" s="1149"/>
      <c r="W513" s="649"/>
      <c r="X513" s="235"/>
      <c r="Y513" s="235"/>
      <c r="Z513" s="235"/>
      <c r="AA513" s="235"/>
      <c r="AB513" s="1903" t="str">
        <f>Text!$BA$35</f>
        <v xml:space="preserve">                  Ressourcenschonung 
                   &amp; Umweltschutz</v>
      </c>
      <c r="AC513" s="1904"/>
      <c r="AD513" s="1904"/>
      <c r="AE513" s="1904"/>
      <c r="AF513" s="1905"/>
      <c r="AG513" s="1884">
        <f>Text!$AM$51</f>
        <v>33</v>
      </c>
    </row>
    <row r="514" spans="1:36" ht="10.4" hidden="1" customHeight="1" thickTop="1" thickBot="1">
      <c r="B514" s="1833"/>
      <c r="C514" s="1897"/>
      <c r="D514" s="1898"/>
      <c r="E514" s="1899"/>
      <c r="G514" s="1558">
        <f>Text!$AQ$51</f>
        <v>331</v>
      </c>
      <c r="H514" s="1876" t="str">
        <f>Text!$AR$51</f>
        <v>Baustelle</v>
      </c>
      <c r="I514" s="1877"/>
      <c r="J514" s="1877"/>
      <c r="K514" s="1878"/>
      <c r="L514" s="1306"/>
      <c r="M514" s="240"/>
      <c r="N514" s="2"/>
      <c r="O514" s="2"/>
      <c r="P514" s="2"/>
      <c r="Q514" s="2"/>
      <c r="R514" s="2"/>
      <c r="S514" s="59"/>
      <c r="T514" s="59"/>
      <c r="U514" s="1239"/>
      <c r="V514" s="1238"/>
      <c r="W514" s="236"/>
      <c r="X514" s="236"/>
      <c r="Y514" s="236"/>
      <c r="Z514" s="821"/>
      <c r="AA514" s="235"/>
      <c r="AB514" s="1903"/>
      <c r="AC514" s="1904"/>
      <c r="AD514" s="1904"/>
      <c r="AE514" s="1904"/>
      <c r="AF514" s="1905"/>
      <c r="AG514" s="1884"/>
    </row>
    <row r="515" spans="1:36" ht="10.4" hidden="1" customHeight="1" thickTop="1" thickBot="1">
      <c r="B515" s="1833"/>
      <c r="C515" s="1897"/>
      <c r="D515" s="1898"/>
      <c r="E515" s="1899"/>
      <c r="G515" s="1145">
        <f>Text!$AQ$52</f>
        <v>332</v>
      </c>
      <c r="H515" s="1885" t="str">
        <f>Text!$AR$52</f>
        <v>Ökologische Baustoffe</v>
      </c>
      <c r="I515" s="1886"/>
      <c r="J515" s="1886"/>
      <c r="K515" s="1887"/>
      <c r="L515" s="1306"/>
      <c r="M515" s="240"/>
      <c r="N515" s="2"/>
      <c r="O515" s="2"/>
      <c r="P515" s="2"/>
      <c r="Q515" s="2"/>
      <c r="R515" s="2"/>
      <c r="S515" s="59"/>
      <c r="T515" s="59"/>
      <c r="U515" s="1239"/>
      <c r="V515" s="1238"/>
      <c r="W515" s="236"/>
      <c r="X515" s="236"/>
      <c r="Y515" s="236"/>
      <c r="Z515" s="821"/>
      <c r="AA515" s="235"/>
      <c r="AB515" s="1903"/>
      <c r="AC515" s="1904"/>
      <c r="AD515" s="1904"/>
      <c r="AE515" s="1904"/>
      <c r="AF515" s="1905"/>
      <c r="AG515" s="1884"/>
    </row>
    <row r="516" spans="1:36" ht="10.4" hidden="1" customHeight="1" thickTop="1" thickBot="1">
      <c r="B516" s="1833"/>
      <c r="C516" s="1897"/>
      <c r="D516" s="1898"/>
      <c r="E516" s="1899"/>
      <c r="G516" s="1558">
        <f>Text!$AQ$53</f>
        <v>333</v>
      </c>
      <c r="H516" s="1876" t="str">
        <f>Text!$AR$53</f>
        <v>Systematische Inbetriebnahme</v>
      </c>
      <c r="I516" s="1877"/>
      <c r="J516" s="1877"/>
      <c r="K516" s="1878"/>
      <c r="L516" s="1306"/>
      <c r="M516" s="240"/>
      <c r="N516" s="2"/>
      <c r="O516" s="2"/>
      <c r="P516" s="2"/>
      <c r="Q516" s="2"/>
      <c r="R516" s="2"/>
      <c r="S516" s="59"/>
      <c r="T516" s="59"/>
      <c r="U516" s="1239"/>
      <c r="V516" s="1238"/>
      <c r="W516" s="236"/>
      <c r="X516" s="236"/>
      <c r="Y516" s="236"/>
      <c r="Z516" s="821"/>
      <c r="AA516" s="235"/>
      <c r="AB516" s="1903"/>
      <c r="AC516" s="1904"/>
      <c r="AD516" s="1904"/>
      <c r="AE516" s="1904"/>
      <c r="AF516" s="1905"/>
      <c r="AG516" s="1884"/>
    </row>
    <row r="517" spans="1:36" ht="10.4" hidden="1" customHeight="1" thickTop="1" thickBot="1">
      <c r="B517" s="1833"/>
      <c r="C517" s="1897"/>
      <c r="D517" s="1898"/>
      <c r="E517" s="1899"/>
      <c r="G517" s="1145">
        <f>Text!$AQ$54</f>
        <v>334</v>
      </c>
      <c r="H517" s="1885" t="str">
        <f>Text!$AR$54</f>
        <v>Energiemonitoring</v>
      </c>
      <c r="I517" s="1886"/>
      <c r="J517" s="1886"/>
      <c r="K517" s="1887"/>
      <c r="L517" s="1306"/>
      <c r="M517" s="240"/>
      <c r="N517" s="2"/>
      <c r="O517" s="2"/>
      <c r="P517" s="2"/>
      <c r="Q517" s="2"/>
      <c r="R517" s="2"/>
      <c r="S517" s="59"/>
      <c r="T517" s="59"/>
      <c r="U517" s="1879" t="str">
        <f>Text!$AU$48</f>
        <v>Behaglichkeitsmonitoring</v>
      </c>
      <c r="V517" s="1880"/>
      <c r="W517" s="1880"/>
      <c r="X517" s="1880"/>
      <c r="Y517" s="1881"/>
      <c r="Z517" s="1138" t="str">
        <f>Text!$AT$48</f>
        <v>K334</v>
      </c>
      <c r="AA517" s="235"/>
      <c r="AB517" s="1903"/>
      <c r="AC517" s="1904"/>
      <c r="AD517" s="1904"/>
      <c r="AE517" s="1904"/>
      <c r="AF517" s="1905"/>
      <c r="AG517" s="1884"/>
    </row>
    <row r="518" spans="1:36" ht="10.4" hidden="1" customHeight="1" thickTop="1" thickBot="1">
      <c r="B518" s="1833"/>
      <c r="C518" s="1897"/>
      <c r="D518" s="1898"/>
      <c r="E518" s="1899"/>
      <c r="G518" s="1145">
        <f>Text!$AQ$55</f>
        <v>335</v>
      </c>
      <c r="H518" s="1885" t="str">
        <f>Text!$AR$55</f>
        <v>Mobilitätsmassnahmen</v>
      </c>
      <c r="I518" s="1886"/>
      <c r="J518" s="1886"/>
      <c r="K518" s="1887"/>
      <c r="L518" s="1306"/>
      <c r="M518" s="240"/>
      <c r="N518" s="2"/>
      <c r="O518" s="2"/>
      <c r="P518" s="2"/>
      <c r="Q518" s="2"/>
      <c r="R518" s="2"/>
      <c r="S518" s="59"/>
      <c r="T518" s="59"/>
      <c r="U518" s="235"/>
      <c r="V518" s="1237"/>
      <c r="W518" s="235"/>
      <c r="X518" s="235"/>
      <c r="Y518" s="235"/>
      <c r="Z518" s="235"/>
      <c r="AA518" s="235"/>
      <c r="AB518" s="1903"/>
      <c r="AC518" s="1904"/>
      <c r="AD518" s="1904"/>
      <c r="AE518" s="1904"/>
      <c r="AF518" s="1905"/>
      <c r="AG518" s="1884"/>
    </row>
    <row r="519" spans="1:36" ht="10.4" hidden="1" customHeight="1" thickTop="1" thickBot="1">
      <c r="B519" s="1833"/>
      <c r="C519" s="1900"/>
      <c r="D519" s="1901"/>
      <c r="E519" s="1902"/>
      <c r="G519" s="1145">
        <f>Text!$AQ$56</f>
        <v>336</v>
      </c>
      <c r="H519" s="1885" t="str">
        <f>Text!$AR$56</f>
        <v>Elektro-Mobilität</v>
      </c>
      <c r="I519" s="1886"/>
      <c r="J519" s="1886"/>
      <c r="K519" s="1887"/>
      <c r="L519" s="1306"/>
      <c r="M519" s="240"/>
      <c r="N519" s="2"/>
      <c r="O519" s="2"/>
      <c r="P519" s="2"/>
      <c r="Q519" s="755"/>
      <c r="R519" s="755"/>
      <c r="S519" s="755"/>
      <c r="T519" s="1228"/>
      <c r="U519" s="1239"/>
      <c r="V519" s="1238"/>
      <c r="W519" s="236"/>
      <c r="X519" s="236"/>
      <c r="Y519" s="236"/>
      <c r="Z519" s="821"/>
      <c r="AA519" s="235"/>
      <c r="AB519" s="1903"/>
      <c r="AC519" s="1904"/>
      <c r="AD519" s="1904"/>
      <c r="AE519" s="1904"/>
      <c r="AF519" s="1905"/>
      <c r="AG519" s="1884"/>
    </row>
    <row r="520" spans="1:36" s="44" customFormat="1" ht="2.15" hidden="1" customHeight="1" thickBot="1">
      <c r="A520" s="1"/>
      <c r="B520" s="1833">
        <f>Text!$AM$57</f>
        <v>34</v>
      </c>
      <c r="C520" s="1835" t="str">
        <f>Text!$BA$36</f>
        <v xml:space="preserve">               Natur &amp; Landschaft</v>
      </c>
      <c r="D520" s="1836"/>
      <c r="E520" s="1837"/>
      <c r="F520" s="1"/>
      <c r="G520" s="1"/>
      <c r="H520" s="1"/>
      <c r="I520" s="1"/>
      <c r="J520" s="1"/>
      <c r="K520" s="240"/>
      <c r="L520" s="240"/>
      <c r="M520" s="240"/>
      <c r="N520" s="2"/>
      <c r="O520" s="2"/>
      <c r="P520" s="2"/>
      <c r="Q520" s="755"/>
      <c r="R520" s="755"/>
      <c r="S520" s="755"/>
      <c r="T520" s="755"/>
      <c r="U520" s="1448"/>
      <c r="V520" s="1448"/>
      <c r="W520" s="1448"/>
      <c r="X520" s="236"/>
      <c r="Y520" s="236"/>
      <c r="Z520" s="236"/>
      <c r="AA520" s="235"/>
      <c r="AB520" s="1844" t="str">
        <f>Text!$BA$36</f>
        <v xml:space="preserve">               Natur &amp; Landschaft</v>
      </c>
      <c r="AC520" s="1845"/>
      <c r="AD520" s="1845"/>
      <c r="AE520" s="1845"/>
      <c r="AF520" s="1846"/>
      <c r="AG520" s="1884">
        <f>Text!$AM$57</f>
        <v>34</v>
      </c>
    </row>
    <row r="521" spans="1:36" s="44" customFormat="1" ht="10.4" hidden="1" customHeight="1" thickTop="1" thickBot="1">
      <c r="A521" s="1"/>
      <c r="B521" s="1833"/>
      <c r="C521" s="1838"/>
      <c r="D521" s="1839"/>
      <c r="E521" s="1840"/>
      <c r="F521" s="1"/>
      <c r="G521" s="1145">
        <f>Text!$AQ$57</f>
        <v>341</v>
      </c>
      <c r="H521" s="1885" t="str">
        <f>Text!$AR$57</f>
        <v>Biodiversität</v>
      </c>
      <c r="I521" s="1886"/>
      <c r="J521" s="1886"/>
      <c r="K521" s="1887"/>
      <c r="L521" s="1306"/>
      <c r="M521" s="240"/>
      <c r="N521" s="2"/>
      <c r="O521" s="2"/>
      <c r="P521" s="2"/>
      <c r="Q521" s="2"/>
      <c r="R521" s="2"/>
      <c r="S521" s="59"/>
      <c r="T521" s="59"/>
      <c r="U521" s="1239"/>
      <c r="V521" s="1283"/>
      <c r="W521" s="1449"/>
      <c r="X521" s="1449"/>
      <c r="Y521" s="1449"/>
      <c r="Z521" s="821"/>
      <c r="AA521" s="235"/>
      <c r="AB521" s="1844"/>
      <c r="AC521" s="1845"/>
      <c r="AD521" s="1845"/>
      <c r="AE521" s="1845"/>
      <c r="AF521" s="1846"/>
      <c r="AG521" s="1884"/>
      <c r="AH521" s="235"/>
      <c r="AI521" s="243"/>
    </row>
    <row r="522" spans="1:36" s="44" customFormat="1" ht="10.4" hidden="1" customHeight="1" thickTop="1" thickBot="1">
      <c r="A522" s="1"/>
      <c r="B522" s="1833"/>
      <c r="C522" s="1838"/>
      <c r="D522" s="1839"/>
      <c r="E522" s="1840"/>
      <c r="F522" s="1"/>
      <c r="G522" s="1145">
        <f>Text!$AQ$58</f>
        <v>342</v>
      </c>
      <c r="H522" s="1885" t="str">
        <f>Text!$AR$58</f>
        <v>Wasser</v>
      </c>
      <c r="I522" s="1886"/>
      <c r="J522" s="1886"/>
      <c r="K522" s="1887"/>
      <c r="L522" s="1306"/>
      <c r="M522" s="1151"/>
      <c r="N522" s="240"/>
      <c r="O522" s="240"/>
      <c r="P522" s="145"/>
      <c r="Q522" s="755"/>
      <c r="R522" s="755"/>
      <c r="S522" s="755"/>
      <c r="T522" s="755"/>
      <c r="U522" s="1879" t="str">
        <f>Text!$AU$49</f>
        <v>Umgebung im Klimawandel</v>
      </c>
      <c r="V522" s="1880"/>
      <c r="W522" s="1880"/>
      <c r="X522" s="1880"/>
      <c r="Y522" s="1881"/>
      <c r="Z522" s="1138" t="str">
        <f>Text!$AT$49</f>
        <v>K342</v>
      </c>
      <c r="AA522" s="235"/>
      <c r="AB522" s="1844"/>
      <c r="AC522" s="1845"/>
      <c r="AD522" s="1845"/>
      <c r="AE522" s="1845"/>
      <c r="AF522" s="1846"/>
      <c r="AG522" s="1884"/>
    </row>
    <row r="523" spans="1:36" s="44" customFormat="1" ht="10.4" hidden="1" customHeight="1" thickTop="1" thickBot="1">
      <c r="A523" s="1"/>
      <c r="B523" s="1834"/>
      <c r="C523" s="1841"/>
      <c r="D523" s="1842"/>
      <c r="E523" s="1843"/>
      <c r="F523" s="1"/>
      <c r="G523" s="1558">
        <f>Text!$AQ$59</f>
        <v>343</v>
      </c>
      <c r="H523" s="1876" t="str">
        <f>Text!$AR$59</f>
        <v>Haushälterische Bodennutzung</v>
      </c>
      <c r="I523" s="1877"/>
      <c r="J523" s="1877"/>
      <c r="K523" s="1878"/>
      <c r="L523" s="1306"/>
      <c r="M523" s="1227"/>
      <c r="N523" s="755"/>
      <c r="O523" s="1228"/>
      <c r="P523" s="145"/>
      <c r="Q523" s="755"/>
      <c r="R523" s="755"/>
      <c r="S523" s="755"/>
      <c r="T523" s="1228"/>
      <c r="AA523" s="235"/>
      <c r="AB523" s="1844"/>
      <c r="AC523" s="1845"/>
      <c r="AD523" s="1845"/>
      <c r="AE523" s="1845"/>
      <c r="AF523" s="1846"/>
      <c r="AG523" s="1907"/>
      <c r="AH523" s="235"/>
      <c r="AI523" s="241"/>
      <c r="AJ523" s="241"/>
    </row>
    <row r="524" spans="1:36" ht="10.4" hidden="1" customHeight="1" thickTop="1"/>
    <row r="525" spans="1:36" ht="31" hidden="1" customHeight="1">
      <c r="B525" s="1893" t="str">
        <f>Text!$C$590</f>
        <v>Gesamtnote</v>
      </c>
      <c r="C525" s="1893"/>
      <c r="D525" s="1893"/>
      <c r="E525" s="1893"/>
      <c r="F525" s="1277"/>
      <c r="G525" s="1906"/>
      <c r="H525" s="1906"/>
      <c r="I525" s="1906"/>
      <c r="J525" s="1906"/>
      <c r="K525" s="1906"/>
      <c r="L525" s="1906"/>
      <c r="M525" s="1906"/>
      <c r="N525" s="1906"/>
      <c r="O525" s="1906"/>
      <c r="Q525" s="1854"/>
      <c r="R525" s="1854"/>
      <c r="S525" s="14"/>
      <c r="T525" s="14"/>
      <c r="U525" s="1906" t="str">
        <f>Text!C$579</f>
        <v>Das Projekt wurde als 0 % nachhaltig beim Klima-Check bewertet</v>
      </c>
      <c r="V525" s="1906"/>
      <c r="W525" s="1906"/>
      <c r="X525" s="1906"/>
      <c r="Y525" s="1906"/>
      <c r="Z525" s="1906"/>
      <c r="AA525" s="1906"/>
      <c r="AB525" s="1906"/>
      <c r="AC525" s="1906"/>
      <c r="AD525" s="1906"/>
      <c r="AE525" s="1906"/>
      <c r="AF525" s="1906"/>
      <c r="AG525" s="1906"/>
    </row>
  </sheetData>
  <sheetProtection algorithmName="SHA-512" hashValue="7CFGnqCAboayfprnAiKQZHegGtIObAM7V7ZeCbW3jWYjcxLolIsQ5U/7ogcEImaFenKIOObPKmH/UCblyFda5g==" saltValue="nKL9g7zLqaw71e3Ja3OP7Q==" spinCount="100000" sheet="1" formatColumns="0" formatRows="0"/>
  <customSheetViews>
    <customSheetView guid="{9A24DFA8-2F1F-40ED-973B-20A00514A0EB}" showGridLines="0" showRowCol="0" hiddenRows="1" hiddenColumns="1"/>
  </customSheetViews>
  <mergeCells count="594">
    <mergeCell ref="M11:U11"/>
    <mergeCell ref="O49:AF52"/>
    <mergeCell ref="O223:AF226"/>
    <mergeCell ref="O395:AF399"/>
    <mergeCell ref="AB128:AF131"/>
    <mergeCell ref="U129:Y129"/>
    <mergeCell ref="AG128:AG131"/>
    <mergeCell ref="AG152:AG155"/>
    <mergeCell ref="AB118:AF123"/>
    <mergeCell ref="U145:Y145"/>
    <mergeCell ref="Q96:AF96"/>
    <mergeCell ref="U93:AF93"/>
    <mergeCell ref="U94:AF94"/>
    <mergeCell ref="U98:AF98"/>
    <mergeCell ref="E98:O98"/>
    <mergeCell ref="AB116:AG116"/>
    <mergeCell ref="U116:Z116"/>
    <mergeCell ref="Q116:R116"/>
    <mergeCell ref="C124:E127"/>
    <mergeCell ref="U113:AG115"/>
    <mergeCell ref="U99:AF99"/>
    <mergeCell ref="U100:AF100"/>
    <mergeCell ref="Q113:R115"/>
    <mergeCell ref="C99:D99"/>
    <mergeCell ref="AG144:AG147"/>
    <mergeCell ref="AG148:AG151"/>
    <mergeCell ref="U136:Y136"/>
    <mergeCell ref="AG132:AG139"/>
    <mergeCell ref="U123:Y123"/>
    <mergeCell ref="U138:Y138"/>
    <mergeCell ref="U119:Y119"/>
    <mergeCell ref="AB132:AF139"/>
    <mergeCell ref="H150:K150"/>
    <mergeCell ref="H136:K136"/>
    <mergeCell ref="AG118:AG123"/>
    <mergeCell ref="AG124:AG127"/>
    <mergeCell ref="AB124:AF127"/>
    <mergeCell ref="U125:Y125"/>
    <mergeCell ref="U126:Y126"/>
    <mergeCell ref="H135:K135"/>
    <mergeCell ref="E99:O99"/>
    <mergeCell ref="Q99:T99"/>
    <mergeCell ref="U122:Y122"/>
    <mergeCell ref="U120:Y120"/>
    <mergeCell ref="M113:O115"/>
    <mergeCell ref="B132:B139"/>
    <mergeCell ref="M116:O116"/>
    <mergeCell ref="H133:K133"/>
    <mergeCell ref="H134:K134"/>
    <mergeCell ref="B124:B127"/>
    <mergeCell ref="B128:B131"/>
    <mergeCell ref="H122:K122"/>
    <mergeCell ref="H125:K125"/>
    <mergeCell ref="H126:K126"/>
    <mergeCell ref="H129:K129"/>
    <mergeCell ref="C132:E139"/>
    <mergeCell ref="B116:E116"/>
    <mergeCell ref="G116:K116"/>
    <mergeCell ref="H138:K138"/>
    <mergeCell ref="H137:K137"/>
    <mergeCell ref="H130:K130"/>
    <mergeCell ref="H139:K139"/>
    <mergeCell ref="C128:E131"/>
    <mergeCell ref="C118:E123"/>
    <mergeCell ref="U157:Z157"/>
    <mergeCell ref="M142:O142"/>
    <mergeCell ref="Q142:R142"/>
    <mergeCell ref="H149:K149"/>
    <mergeCell ref="U151:Y151"/>
    <mergeCell ref="M157:O157"/>
    <mergeCell ref="Q157:R157"/>
    <mergeCell ref="C100:D100"/>
    <mergeCell ref="E100:O100"/>
    <mergeCell ref="U121:Y121"/>
    <mergeCell ref="Q100:T100"/>
    <mergeCell ref="H147:K147"/>
    <mergeCell ref="H146:K146"/>
    <mergeCell ref="B167:B173"/>
    <mergeCell ref="C167:E173"/>
    <mergeCell ref="AB167:AF173"/>
    <mergeCell ref="B179:E179"/>
    <mergeCell ref="B164:B166"/>
    <mergeCell ref="AB14:AE14"/>
    <mergeCell ref="AB16:AD16"/>
    <mergeCell ref="AB18:AD18"/>
    <mergeCell ref="U33:Z33"/>
    <mergeCell ref="B159:B163"/>
    <mergeCell ref="AB144:AF147"/>
    <mergeCell ref="AB148:AF151"/>
    <mergeCell ref="AB152:AF155"/>
    <mergeCell ref="H151:K151"/>
    <mergeCell ref="U149:Y149"/>
    <mergeCell ref="B142:E142"/>
    <mergeCell ref="B157:E157"/>
    <mergeCell ref="G142:K142"/>
    <mergeCell ref="G157:K157"/>
    <mergeCell ref="B149:B151"/>
    <mergeCell ref="C149:E151"/>
    <mergeCell ref="B152:B155"/>
    <mergeCell ref="C152:E155"/>
    <mergeCell ref="B144:B148"/>
    <mergeCell ref="E9:H9"/>
    <mergeCell ref="E10:H10"/>
    <mergeCell ref="C88:O88"/>
    <mergeCell ref="C90:O90"/>
    <mergeCell ref="G33:K33"/>
    <mergeCell ref="B33:E33"/>
    <mergeCell ref="Q33:R33"/>
    <mergeCell ref="Q93:T93"/>
    <mergeCell ref="Q94:T94"/>
    <mergeCell ref="C92:D92"/>
    <mergeCell ref="O45:AF47"/>
    <mergeCell ref="O37:AF38"/>
    <mergeCell ref="U92:AF92"/>
    <mergeCell ref="E93:O93"/>
    <mergeCell ref="E94:O94"/>
    <mergeCell ref="K10:O10"/>
    <mergeCell ref="AB20:AD20"/>
    <mergeCell ref="AB22:AD22"/>
    <mergeCell ref="B24:K26"/>
    <mergeCell ref="M24:O26"/>
    <mergeCell ref="Q24:R26"/>
    <mergeCell ref="Q29:R29"/>
    <mergeCell ref="U29:Z29"/>
    <mergeCell ref="AB29:AG29"/>
    <mergeCell ref="C159:E163"/>
    <mergeCell ref="H160:K160"/>
    <mergeCell ref="U161:Y161"/>
    <mergeCell ref="H161:K161"/>
    <mergeCell ref="H153:K153"/>
    <mergeCell ref="B31:E31"/>
    <mergeCell ref="G31:K31"/>
    <mergeCell ref="M31:O31"/>
    <mergeCell ref="Q31:R31"/>
    <mergeCell ref="U31:Z31"/>
    <mergeCell ref="C93:D93"/>
    <mergeCell ref="C94:D94"/>
    <mergeCell ref="C96:O96"/>
    <mergeCell ref="C98:D98"/>
    <mergeCell ref="O35:AF35"/>
    <mergeCell ref="E92:O92"/>
    <mergeCell ref="Q88:AF88"/>
    <mergeCell ref="Q90:AF90"/>
    <mergeCell ref="Q92:T92"/>
    <mergeCell ref="C144:E148"/>
    <mergeCell ref="H145:K145"/>
    <mergeCell ref="AB142:AG142"/>
    <mergeCell ref="AB157:AG157"/>
    <mergeCell ref="U142:Z142"/>
    <mergeCell ref="G4:H4"/>
    <mergeCell ref="G2:H2"/>
    <mergeCell ref="K2:L2"/>
    <mergeCell ref="H119:K119"/>
    <mergeCell ref="H120:K120"/>
    <mergeCell ref="B113:K115"/>
    <mergeCell ref="B118:B123"/>
    <mergeCell ref="K8:O8"/>
    <mergeCell ref="K9:O9"/>
    <mergeCell ref="D12:AF12"/>
    <mergeCell ref="AB103:AE103"/>
    <mergeCell ref="AB105:AD105"/>
    <mergeCell ref="AB107:AD107"/>
    <mergeCell ref="AB109:AD109"/>
    <mergeCell ref="O40:AF41"/>
    <mergeCell ref="O42:P42"/>
    <mergeCell ref="O43:P43"/>
    <mergeCell ref="R43:U43"/>
    <mergeCell ref="R42:U42"/>
    <mergeCell ref="AB111:AD111"/>
    <mergeCell ref="B27:E27"/>
    <mergeCell ref="AB33:AG33"/>
    <mergeCell ref="Q98:T98"/>
    <mergeCell ref="AB31:AG31"/>
    <mergeCell ref="AG167:AG173"/>
    <mergeCell ref="H168:K168"/>
    <mergeCell ref="H169:K169"/>
    <mergeCell ref="H170:K170"/>
    <mergeCell ref="H171:K171"/>
    <mergeCell ref="H172:K172"/>
    <mergeCell ref="H173:K173"/>
    <mergeCell ref="C174:E177"/>
    <mergeCell ref="AG159:AG163"/>
    <mergeCell ref="AG164:AG166"/>
    <mergeCell ref="AB174:AF177"/>
    <mergeCell ref="AG174:AG177"/>
    <mergeCell ref="H175:K175"/>
    <mergeCell ref="H176:K176"/>
    <mergeCell ref="H177:K177"/>
    <mergeCell ref="U176:Y176"/>
    <mergeCell ref="C164:E166"/>
    <mergeCell ref="H164:K164"/>
    <mergeCell ref="H165:K165"/>
    <mergeCell ref="U165:Y165"/>
    <mergeCell ref="U171:Y171"/>
    <mergeCell ref="H162:K162"/>
    <mergeCell ref="AB163:AF166"/>
    <mergeCell ref="AB159:AF162"/>
    <mergeCell ref="G27:K27"/>
    <mergeCell ref="M27:O27"/>
    <mergeCell ref="Q27:R27"/>
    <mergeCell ref="U27:Z27"/>
    <mergeCell ref="B15:K22"/>
    <mergeCell ref="U24:AG26"/>
    <mergeCell ref="AB27:AG27"/>
    <mergeCell ref="B29:E29"/>
    <mergeCell ref="G29:K29"/>
    <mergeCell ref="M29:O29"/>
    <mergeCell ref="B174:B177"/>
    <mergeCell ref="AB188:AE188"/>
    <mergeCell ref="B189:K196"/>
    <mergeCell ref="AB190:AD190"/>
    <mergeCell ref="AB192:AD192"/>
    <mergeCell ref="AB194:AD194"/>
    <mergeCell ref="AB196:AD196"/>
    <mergeCell ref="B198:K200"/>
    <mergeCell ref="M198:O200"/>
    <mergeCell ref="Q198:R200"/>
    <mergeCell ref="U198:AG200"/>
    <mergeCell ref="M180:O180"/>
    <mergeCell ref="D186:AF186"/>
    <mergeCell ref="G179:K179"/>
    <mergeCell ref="AB179:AG179"/>
    <mergeCell ref="U179:Z179"/>
    <mergeCell ref="Q179:R179"/>
    <mergeCell ref="K182:O182"/>
    <mergeCell ref="E183:H183"/>
    <mergeCell ref="K183:O183"/>
    <mergeCell ref="E184:H184"/>
    <mergeCell ref="K184:O184"/>
    <mergeCell ref="M185:U185"/>
    <mergeCell ref="B201:E201"/>
    <mergeCell ref="G201:K201"/>
    <mergeCell ref="Q201:R201"/>
    <mergeCell ref="U201:Z201"/>
    <mergeCell ref="AB201:AG201"/>
    <mergeCell ref="B203:E203"/>
    <mergeCell ref="G203:K203"/>
    <mergeCell ref="Q203:R203"/>
    <mergeCell ref="U203:Z203"/>
    <mergeCell ref="AB203:AG203"/>
    <mergeCell ref="B205:E205"/>
    <mergeCell ref="G205:K205"/>
    <mergeCell ref="Q205:R205"/>
    <mergeCell ref="U205:Z205"/>
    <mergeCell ref="AB205:AG205"/>
    <mergeCell ref="B207:E207"/>
    <mergeCell ref="G207:K207"/>
    <mergeCell ref="Q207:R207"/>
    <mergeCell ref="U207:Z207"/>
    <mergeCell ref="AB207:AG207"/>
    <mergeCell ref="O209:AF209"/>
    <mergeCell ref="O211:AF212"/>
    <mergeCell ref="O214:AF215"/>
    <mergeCell ref="O216:P216"/>
    <mergeCell ref="R216:U216"/>
    <mergeCell ref="O217:P217"/>
    <mergeCell ref="R217:U217"/>
    <mergeCell ref="O219:AF221"/>
    <mergeCell ref="C262:O262"/>
    <mergeCell ref="Q262:AF262"/>
    <mergeCell ref="C264:O264"/>
    <mergeCell ref="Q264:AF264"/>
    <mergeCell ref="C266:D266"/>
    <mergeCell ref="E266:O266"/>
    <mergeCell ref="Q266:T266"/>
    <mergeCell ref="U266:AF266"/>
    <mergeCell ref="C267:D267"/>
    <mergeCell ref="E267:O267"/>
    <mergeCell ref="Q267:T267"/>
    <mergeCell ref="U267:AF267"/>
    <mergeCell ref="C268:D268"/>
    <mergeCell ref="E268:O268"/>
    <mergeCell ref="Q268:T268"/>
    <mergeCell ref="U268:AF268"/>
    <mergeCell ref="C270:O270"/>
    <mergeCell ref="Q270:AF270"/>
    <mergeCell ref="C272:D272"/>
    <mergeCell ref="E272:O272"/>
    <mergeCell ref="Q272:T272"/>
    <mergeCell ref="U272:AF272"/>
    <mergeCell ref="C273:D273"/>
    <mergeCell ref="E273:O273"/>
    <mergeCell ref="Q273:T273"/>
    <mergeCell ref="U273:AF273"/>
    <mergeCell ref="C274:D274"/>
    <mergeCell ref="E274:O274"/>
    <mergeCell ref="Q274:T274"/>
    <mergeCell ref="U274:AF274"/>
    <mergeCell ref="B287:K289"/>
    <mergeCell ref="M287:O289"/>
    <mergeCell ref="B290:E290"/>
    <mergeCell ref="G290:K290"/>
    <mergeCell ref="Q290:R290"/>
    <mergeCell ref="U290:Z290"/>
    <mergeCell ref="AB290:AG290"/>
    <mergeCell ref="B292:B295"/>
    <mergeCell ref="C292:E295"/>
    <mergeCell ref="AB292:AF295"/>
    <mergeCell ref="AG292:AG295"/>
    <mergeCell ref="H293:K293"/>
    <mergeCell ref="U293:Y293"/>
    <mergeCell ref="H294:K294"/>
    <mergeCell ref="U294:Y294"/>
    <mergeCell ref="H295:K295"/>
    <mergeCell ref="U295:Y295"/>
    <mergeCell ref="B296:B299"/>
    <mergeCell ref="C296:E299"/>
    <mergeCell ref="AB296:AF299"/>
    <mergeCell ref="AG296:AG299"/>
    <mergeCell ref="H297:K297"/>
    <mergeCell ref="U297:Y297"/>
    <mergeCell ref="H298:K298"/>
    <mergeCell ref="U298:Y298"/>
    <mergeCell ref="B300:B303"/>
    <mergeCell ref="C300:E303"/>
    <mergeCell ref="AB300:AF303"/>
    <mergeCell ref="AG300:AG303"/>
    <mergeCell ref="H301:K301"/>
    <mergeCell ref="U301:Y301"/>
    <mergeCell ref="H302:K302"/>
    <mergeCell ref="B304:B311"/>
    <mergeCell ref="C304:E311"/>
    <mergeCell ref="AB304:AF311"/>
    <mergeCell ref="AG304:AG311"/>
    <mergeCell ref="H305:K305"/>
    <mergeCell ref="H306:K306"/>
    <mergeCell ref="H307:K307"/>
    <mergeCell ref="H308:K308"/>
    <mergeCell ref="U308:Y308"/>
    <mergeCell ref="H309:K309"/>
    <mergeCell ref="H310:K310"/>
    <mergeCell ref="U310:Y310"/>
    <mergeCell ref="H311:K311"/>
    <mergeCell ref="B314:E314"/>
    <mergeCell ref="G314:K314"/>
    <mergeCell ref="Q314:R314"/>
    <mergeCell ref="U314:Z314"/>
    <mergeCell ref="AB314:AG314"/>
    <mergeCell ref="B316:B320"/>
    <mergeCell ref="C316:E320"/>
    <mergeCell ref="AB316:AF319"/>
    <mergeCell ref="AG316:AG319"/>
    <mergeCell ref="H317:K317"/>
    <mergeCell ref="U317:Y317"/>
    <mergeCell ref="H318:K318"/>
    <mergeCell ref="H319:K319"/>
    <mergeCell ref="AB320:AF323"/>
    <mergeCell ref="AG320:AG323"/>
    <mergeCell ref="B321:B323"/>
    <mergeCell ref="C321:E323"/>
    <mergeCell ref="H321:K321"/>
    <mergeCell ref="U321:Y321"/>
    <mergeCell ref="H322:K322"/>
    <mergeCell ref="H323:K323"/>
    <mergeCell ref="U323:Y323"/>
    <mergeCell ref="B324:B327"/>
    <mergeCell ref="C324:E327"/>
    <mergeCell ref="AB324:AF327"/>
    <mergeCell ref="AG324:AG327"/>
    <mergeCell ref="H325:K325"/>
    <mergeCell ref="B329:E329"/>
    <mergeCell ref="G329:K329"/>
    <mergeCell ref="Q329:R329"/>
    <mergeCell ref="U329:Z329"/>
    <mergeCell ref="AB329:AG329"/>
    <mergeCell ref="B331:B335"/>
    <mergeCell ref="C331:E335"/>
    <mergeCell ref="AB331:AF334"/>
    <mergeCell ref="AG331:AG335"/>
    <mergeCell ref="H332:K332"/>
    <mergeCell ref="H333:K333"/>
    <mergeCell ref="U333:Y333"/>
    <mergeCell ref="H334:K334"/>
    <mergeCell ref="AB335:AF338"/>
    <mergeCell ref="B336:B338"/>
    <mergeCell ref="C336:E338"/>
    <mergeCell ref="H336:K336"/>
    <mergeCell ref="AG336:AG338"/>
    <mergeCell ref="H337:K337"/>
    <mergeCell ref="U337:Y337"/>
    <mergeCell ref="B339:B345"/>
    <mergeCell ref="C339:E345"/>
    <mergeCell ref="AB339:AF345"/>
    <mergeCell ref="AG339:AG345"/>
    <mergeCell ref="H340:K340"/>
    <mergeCell ref="H341:K341"/>
    <mergeCell ref="H342:K342"/>
    <mergeCell ref="H343:K343"/>
    <mergeCell ref="U343:Y343"/>
    <mergeCell ref="H344:K344"/>
    <mergeCell ref="H345:K345"/>
    <mergeCell ref="B346:B349"/>
    <mergeCell ref="C346:E349"/>
    <mergeCell ref="AB346:AF349"/>
    <mergeCell ref="AG346:AG349"/>
    <mergeCell ref="H347:K347"/>
    <mergeCell ref="H348:K348"/>
    <mergeCell ref="U348:Y348"/>
    <mergeCell ref="H349:K349"/>
    <mergeCell ref="B351:E351"/>
    <mergeCell ref="G351:K351"/>
    <mergeCell ref="Q351:R351"/>
    <mergeCell ref="U351:Z351"/>
    <mergeCell ref="AB351:AG351"/>
    <mergeCell ref="D358:AF358"/>
    <mergeCell ref="AB360:AE360"/>
    <mergeCell ref="B361:K368"/>
    <mergeCell ref="AB362:AD362"/>
    <mergeCell ref="AB364:AD364"/>
    <mergeCell ref="AB366:AD366"/>
    <mergeCell ref="AB368:AD368"/>
    <mergeCell ref="B370:K372"/>
    <mergeCell ref="M370:O372"/>
    <mergeCell ref="Q370:R372"/>
    <mergeCell ref="B373:E373"/>
    <mergeCell ref="G373:K373"/>
    <mergeCell ref="M373:O373"/>
    <mergeCell ref="Q373:R373"/>
    <mergeCell ref="B375:E375"/>
    <mergeCell ref="G375:K375"/>
    <mergeCell ref="M375:O375"/>
    <mergeCell ref="Q375:R375"/>
    <mergeCell ref="B377:E377"/>
    <mergeCell ref="G377:K377"/>
    <mergeCell ref="M377:O377"/>
    <mergeCell ref="Q377:R377"/>
    <mergeCell ref="B379:E379"/>
    <mergeCell ref="G379:K379"/>
    <mergeCell ref="Q379:R379"/>
    <mergeCell ref="O381:AF381"/>
    <mergeCell ref="O383:AF384"/>
    <mergeCell ref="O386:AF387"/>
    <mergeCell ref="O388:P388"/>
    <mergeCell ref="R388:U388"/>
    <mergeCell ref="O389:P389"/>
    <mergeCell ref="R389:U389"/>
    <mergeCell ref="O391:AF393"/>
    <mergeCell ref="C434:O434"/>
    <mergeCell ref="Q434:AF434"/>
    <mergeCell ref="C436:O436"/>
    <mergeCell ref="Q436:AF436"/>
    <mergeCell ref="C438:D438"/>
    <mergeCell ref="E438:O438"/>
    <mergeCell ref="Q438:T438"/>
    <mergeCell ref="U438:AF438"/>
    <mergeCell ref="C439:D439"/>
    <mergeCell ref="E439:O439"/>
    <mergeCell ref="Q439:T439"/>
    <mergeCell ref="U439:AF439"/>
    <mergeCell ref="C440:D440"/>
    <mergeCell ref="E440:O440"/>
    <mergeCell ref="Q440:T440"/>
    <mergeCell ref="U440:AF440"/>
    <mergeCell ref="C442:O442"/>
    <mergeCell ref="Q442:AF442"/>
    <mergeCell ref="C444:D444"/>
    <mergeCell ref="E444:O444"/>
    <mergeCell ref="Q444:T444"/>
    <mergeCell ref="U444:AF444"/>
    <mergeCell ref="C445:D445"/>
    <mergeCell ref="E445:O445"/>
    <mergeCell ref="Q445:T445"/>
    <mergeCell ref="U445:AF445"/>
    <mergeCell ref="C446:D446"/>
    <mergeCell ref="E446:O446"/>
    <mergeCell ref="Q446:T446"/>
    <mergeCell ref="U446:AF446"/>
    <mergeCell ref="AB449:AE449"/>
    <mergeCell ref="AB451:AD451"/>
    <mergeCell ref="AB453:AD453"/>
    <mergeCell ref="AB455:AD455"/>
    <mergeCell ref="AB457:AD457"/>
    <mergeCell ref="B459:K461"/>
    <mergeCell ref="M459:O461"/>
    <mergeCell ref="Q459:R461"/>
    <mergeCell ref="U459:AG461"/>
    <mergeCell ref="B462:E462"/>
    <mergeCell ref="Q462:R462"/>
    <mergeCell ref="G462:O462"/>
    <mergeCell ref="U462:AG462"/>
    <mergeCell ref="B464:B469"/>
    <mergeCell ref="C464:E469"/>
    <mergeCell ref="AB464:AF469"/>
    <mergeCell ref="AG464:AG469"/>
    <mergeCell ref="H465:K465"/>
    <mergeCell ref="U465:Y465"/>
    <mergeCell ref="H466:K466"/>
    <mergeCell ref="U466:Y466"/>
    <mergeCell ref="U467:Y467"/>
    <mergeCell ref="H468:K468"/>
    <mergeCell ref="U468:Y468"/>
    <mergeCell ref="U469:Y469"/>
    <mergeCell ref="AB470:AF473"/>
    <mergeCell ref="AG470:AG473"/>
    <mergeCell ref="H471:K471"/>
    <mergeCell ref="U471:Y471"/>
    <mergeCell ref="H472:K472"/>
    <mergeCell ref="U472:Y472"/>
    <mergeCell ref="B474:B477"/>
    <mergeCell ref="C474:E477"/>
    <mergeCell ref="AB474:AF477"/>
    <mergeCell ref="AG474:AG477"/>
    <mergeCell ref="H475:K475"/>
    <mergeCell ref="U475:Y475"/>
    <mergeCell ref="H476:K476"/>
    <mergeCell ref="H480:K480"/>
    <mergeCell ref="H481:K481"/>
    <mergeCell ref="H482:K482"/>
    <mergeCell ref="U482:Y482"/>
    <mergeCell ref="H483:K483"/>
    <mergeCell ref="H484:K484"/>
    <mergeCell ref="U484:Y484"/>
    <mergeCell ref="H485:K485"/>
    <mergeCell ref="B470:B473"/>
    <mergeCell ref="C470:E473"/>
    <mergeCell ref="AG490:AG493"/>
    <mergeCell ref="H491:K491"/>
    <mergeCell ref="U491:Y491"/>
    <mergeCell ref="H492:K492"/>
    <mergeCell ref="H493:K493"/>
    <mergeCell ref="AB494:AF497"/>
    <mergeCell ref="AG494:AG497"/>
    <mergeCell ref="B495:B497"/>
    <mergeCell ref="C495:E497"/>
    <mergeCell ref="H495:K495"/>
    <mergeCell ref="U495:Y495"/>
    <mergeCell ref="H496:K496"/>
    <mergeCell ref="H497:K497"/>
    <mergeCell ref="U497:Y497"/>
    <mergeCell ref="AG498:AG501"/>
    <mergeCell ref="H499:K499"/>
    <mergeCell ref="B503:E503"/>
    <mergeCell ref="Q503:R503"/>
    <mergeCell ref="G503:O503"/>
    <mergeCell ref="B525:E525"/>
    <mergeCell ref="Q525:R525"/>
    <mergeCell ref="B513:B519"/>
    <mergeCell ref="C513:E519"/>
    <mergeCell ref="AB513:AF519"/>
    <mergeCell ref="AG513:AG519"/>
    <mergeCell ref="H514:K514"/>
    <mergeCell ref="H515:K515"/>
    <mergeCell ref="H516:K516"/>
    <mergeCell ref="H517:K517"/>
    <mergeCell ref="U517:Y517"/>
    <mergeCell ref="H518:K518"/>
    <mergeCell ref="H519:K519"/>
    <mergeCell ref="G525:O525"/>
    <mergeCell ref="U503:AG503"/>
    <mergeCell ref="U525:AG525"/>
    <mergeCell ref="AG520:AG523"/>
    <mergeCell ref="H521:K521"/>
    <mergeCell ref="H522:K522"/>
    <mergeCell ref="U522:Y522"/>
    <mergeCell ref="H523:K523"/>
    <mergeCell ref="B505:B509"/>
    <mergeCell ref="C505:E509"/>
    <mergeCell ref="AB505:AF508"/>
    <mergeCell ref="AG505:AG509"/>
    <mergeCell ref="H506:K506"/>
    <mergeCell ref="H507:K507"/>
    <mergeCell ref="U507:Y507"/>
    <mergeCell ref="H508:K508"/>
    <mergeCell ref="AB509:AF512"/>
    <mergeCell ref="B510:B512"/>
    <mergeCell ref="C510:E512"/>
    <mergeCell ref="H510:K510"/>
    <mergeCell ref="AG510:AG512"/>
    <mergeCell ref="H511:K511"/>
    <mergeCell ref="U511:Y511"/>
    <mergeCell ref="K354:O354"/>
    <mergeCell ref="E355:H355"/>
    <mergeCell ref="K355:O355"/>
    <mergeCell ref="E356:H356"/>
    <mergeCell ref="K356:O356"/>
    <mergeCell ref="M357:U357"/>
    <mergeCell ref="B520:B523"/>
    <mergeCell ref="C520:E523"/>
    <mergeCell ref="AB520:AF523"/>
    <mergeCell ref="B498:B501"/>
    <mergeCell ref="C498:E501"/>
    <mergeCell ref="AB498:AF501"/>
    <mergeCell ref="B488:E488"/>
    <mergeCell ref="Q488:R488"/>
    <mergeCell ref="B490:B494"/>
    <mergeCell ref="C490:E494"/>
    <mergeCell ref="AB490:AF493"/>
    <mergeCell ref="G488:O488"/>
    <mergeCell ref="U488:AG488"/>
    <mergeCell ref="B478:B485"/>
    <mergeCell ref="C478:E485"/>
    <mergeCell ref="AB478:AF485"/>
    <mergeCell ref="AG478:AG485"/>
    <mergeCell ref="H479:K479"/>
  </mergeCells>
  <printOptions horizontalCentered="1" verticalCentered="1"/>
  <pageMargins left="0.39370078740157483" right="0.39370078740157483" top="0.39370078740157483" bottom="0.39370078740157483" header="0.39370078740157483" footer="0.39370078740157483"/>
  <pageSetup paperSize="9" scale="62" fitToHeight="0" orientation="landscape" r:id="rId1"/>
  <headerFooter>
    <oddFooter>&amp;L&amp;D&amp;R&amp;P/&amp;N</oddFooter>
  </headerFooter>
  <ignoredErrors>
    <ignoredError sqref="D5 K2 O2 G2 G4" unlocked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899" id="{25B4BF9B-EF13-4598-94E6-0AB0294876FD}">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900" id="{E04CC5F6-7948-45A8-9B57-E16519A18591}">
            <xm:f>IF(Text!$AS$25=-1,TRUE,FALSE)</xm:f>
            <x14:dxf>
              <font>
                <color rgb="FFFF0000"/>
              </font>
            </x14:dxf>
          </x14:cfRule>
          <x14:cfRule type="expression" priority="1901" id="{59071CF3-0673-41B6-A089-A3350BF98772}">
            <xm:f>IF(Text!$AS$25=1,TRUE,FALSE)</xm:f>
            <x14:dxf>
              <font>
                <color theme="9" tint="-0.24994659260841701"/>
              </font>
            </x14:dxf>
          </x14:cfRule>
          <x14:cfRule type="expression" priority="1902" id="{0C31EAA6-5F27-4108-B0C2-FDAD000E4F25}">
            <xm:f>IF(Text!$AS$25=2,TRUE,FALSE)</xm:f>
            <x14:dxf>
              <font>
                <b/>
                <i val="0"/>
                <strike/>
                <color theme="9" tint="-0.24994659260841701"/>
              </font>
            </x14:dxf>
          </x14:cfRule>
          <xm:sqref>O126</xm:sqref>
        </x14:conditionalFormatting>
        <x14:conditionalFormatting xmlns:xm="http://schemas.microsoft.com/office/excel/2006/main">
          <x14:cfRule type="expression" priority="1919" id="{632A57D6-E003-4F32-B8C1-6E11D064C5CA}">
            <xm:f>IF(Text!$AS$27=-2,TRUE,FALSE)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920" id="{903B7483-75FA-4A87-BD6D-7E41A006EA92}">
            <xm:f>IF(Text!$AS$27=-1,TRUE,FALSE)</xm:f>
            <x14:dxf>
              <font>
                <color rgb="FFFF0000"/>
              </font>
            </x14:dxf>
          </x14:cfRule>
          <x14:cfRule type="expression" priority="1921" id="{6CE8517C-6E02-4C12-BDC7-2254F8BA20D3}">
            <xm:f>IF(Text!$AS$27=1,TRUE,FALSE)</xm:f>
            <x14:dxf>
              <font>
                <color theme="9" tint="-0.24994659260841701"/>
              </font>
            </x14:dxf>
          </x14:cfRule>
          <x14:cfRule type="expression" priority="1922" id="{A6CE7017-0872-4C34-BB5D-1627D5EB6D8A}">
            <xm:f>IF(Text!$AS$27=2,TRUE,FALSE)</xm:f>
            <x14:dxf>
              <font>
                <b/>
                <i val="0"/>
                <strike/>
                <color theme="9" tint="-0.24994659260841701"/>
              </font>
            </x14:dxf>
          </x14:cfRule>
          <xm:sqref>O130</xm:sqref>
        </x14:conditionalFormatting>
        <x14:conditionalFormatting xmlns:xm="http://schemas.microsoft.com/office/excel/2006/main">
          <x14:cfRule type="expression" priority="1804" id="{6BEC0AD6-E569-4A5E-A66A-D0A340840F7C}">
            <xm:f>IF(Text!$AY$26=-2,TRUE,FALSE)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805" id="{8D806FD3-27C2-4CB2-87AE-EDE0EFC281F7}">
            <xm:f>IF(Text!$AY$26=-1,TRUE,FALSE)</xm:f>
            <x14:dxf>
              <font>
                <color rgb="FFFF0000"/>
              </font>
            </x14:dxf>
          </x14:cfRule>
          <x14:cfRule type="expression" priority="1806" id="{859B5E2E-DFB7-42D2-AD18-C4831C0E1FD9}">
            <xm:f>IF(Text!$AY$26=1,TRUE,FALSE)</xm:f>
            <x14:dxf>
              <font>
                <color theme="9" tint="-0.24994659260841701"/>
              </font>
            </x14:dxf>
          </x14:cfRule>
          <x14:cfRule type="expression" priority="1807" id="{5873762D-3A24-4BBA-9772-2ED9A0B0D219}">
            <xm:f>IF(Text!$AY$26=2,TRUE,FALSE)</xm:f>
            <x14:dxf>
              <font>
                <b/>
                <i val="0"/>
                <strike/>
                <color theme="9" tint="-0.24994659260841701"/>
              </font>
            </x14:dxf>
          </x14:cfRule>
          <xm:sqref>V143</xm:sqref>
        </x14:conditionalFormatting>
        <x14:conditionalFormatting xmlns:xm="http://schemas.microsoft.com/office/excel/2006/main">
          <x14:cfRule type="expression" priority="1713" id="{937B7E84-7EF5-4325-8F2F-E021DEB3095E}">
            <xm:f>IF(Text!$AV$23=-1,TRUE,FALSE)</xm:f>
            <x14:dxf>
              <font>
                <color rgb="FFFF0000"/>
              </font>
            </x14:dxf>
          </x14:cfRule>
          <x14:cfRule type="expression" priority="1714" id="{74C612F6-75F5-4C78-BD09-09BC2B1FD2C8}">
            <xm:f>IF(Text!$AV$23=1,TRUE,FALSE)</xm:f>
            <x14:dxf>
              <font>
                <color theme="9" tint="-0.24994659260841701"/>
              </font>
            </x14:dxf>
          </x14:cfRule>
          <x14:cfRule type="expression" priority="1715" id="{84631CD5-9FDD-4FD4-91C8-4449C12225D4}">
            <xm:f>IF(Text!$AV$23=2,TRUE,FALSE)</xm:f>
            <x14:dxf>
              <font>
                <b/>
                <i val="0"/>
                <strike/>
                <color theme="9" tint="-0.24994659260841701"/>
              </font>
            </x14:dxf>
          </x14:cfRule>
          <xm:sqref>U119</xm:sqref>
        </x14:conditionalFormatting>
        <x14:conditionalFormatting xmlns:xm="http://schemas.microsoft.com/office/excel/2006/main">
          <x14:cfRule type="expression" priority="1703" id="{B98BE2B2-5F51-4F60-9F2E-6CA9BD8886FB}">
            <xm:f>IF(Text!$AV$26=-1,TRUE,FALSE)</xm:f>
            <x14:dxf>
              <font>
                <color rgb="FFFF0000"/>
              </font>
            </x14:dxf>
          </x14:cfRule>
          <x14:cfRule type="expression" priority="1704" id="{29A938D3-5668-42CF-84F7-AAE887F87E69}">
            <xm:f>IF(Text!$AV$26=1,TRUE,FALSE)</xm:f>
            <x14:dxf>
              <font>
                <color theme="9" tint="-0.24994659260841701"/>
              </font>
            </x14:dxf>
          </x14:cfRule>
          <x14:cfRule type="expression" priority="1705" id="{83CF6344-0137-4D38-BC7A-64FCC9070032}">
            <xm:f>IF(Text!$AV$26=2,TRUE,FALSE)</xm:f>
            <x14:dxf>
              <font>
                <b/>
                <i val="0"/>
                <strike/>
                <color theme="9" tint="-0.24994659260841701"/>
              </font>
            </x14:dxf>
          </x14:cfRule>
          <xm:sqref>U122</xm:sqref>
        </x14:conditionalFormatting>
        <x14:conditionalFormatting xmlns:xm="http://schemas.microsoft.com/office/excel/2006/main">
          <x14:cfRule type="expression" priority="1698" id="{1490F956-6482-4AAE-8550-E1D6397FC798}">
            <xm:f>IF(Text!$AV$27=-1,TRUE,FALSE)</xm:f>
            <x14:dxf>
              <font>
                <color rgb="FFFF0000"/>
              </font>
            </x14:dxf>
          </x14:cfRule>
          <x14:cfRule type="expression" priority="1699" id="{598240D8-6196-46A9-8AB8-0B735484596B}">
            <xm:f>IF(Text!$AV$27=1,TRUE,FALSE)</xm:f>
            <x14:dxf>
              <font>
                <color theme="9" tint="-0.24994659260841701"/>
              </font>
            </x14:dxf>
          </x14:cfRule>
          <x14:cfRule type="expression" priority="1700" id="{69A13363-4FC4-4DBF-B64E-19D7998F486F}">
            <xm:f>IF(Text!$AV$27=2,TRUE,FALSE)</xm:f>
            <x14:dxf>
              <font>
                <b/>
                <i val="0"/>
                <strike/>
                <color theme="9" tint="-0.24994659260841701"/>
              </font>
            </x14:dxf>
          </x14:cfRule>
          <xm:sqref>U123</xm:sqref>
        </x14:conditionalFormatting>
        <x14:conditionalFormatting xmlns:xm="http://schemas.microsoft.com/office/excel/2006/main">
          <x14:cfRule type="expression" priority="1688" id="{ABB24EF6-D373-45B8-97D0-72D93A97334B}">
            <xm:f>IF(Text!$AV$24=-1,TRUE,FALSE)</xm:f>
            <x14:dxf>
              <font>
                <color rgb="FFFF0000"/>
              </font>
            </x14:dxf>
          </x14:cfRule>
          <x14:cfRule type="expression" priority="1689" id="{A2F38971-2586-472D-8C0C-5537FF4761F1}">
            <xm:f>IF(Text!$AV$24=1,TRUE,FALSE)</xm:f>
            <x14:dxf>
              <font>
                <color theme="9" tint="-0.24994659260841701"/>
              </font>
            </x14:dxf>
          </x14:cfRule>
          <x14:cfRule type="expression" priority="1690" id="{7C6D1D62-BBD8-43D9-8CB7-490B0A674FAE}">
            <xm:f>IF(Text!$AV$24=2,TRUE,FALSE)</xm:f>
            <x14:dxf>
              <font>
                <b/>
                <i val="0"/>
                <strike/>
                <color theme="9" tint="-0.24994659260841701"/>
              </font>
            </x14:dxf>
          </x14:cfRule>
          <xm:sqref>U120</xm:sqref>
        </x14:conditionalFormatting>
        <x14:conditionalFormatting xmlns:xm="http://schemas.microsoft.com/office/excel/2006/main">
          <x14:cfRule type="expression" priority="1683" id="{1B562BE7-4DBD-4E09-968D-F10AB23FFE2B}">
            <xm:f>IF(Text!$AV$25=-1,TRUE,FALSE)</xm:f>
            <x14:dxf>
              <font>
                <color rgb="FFFF0000"/>
              </font>
            </x14:dxf>
          </x14:cfRule>
          <x14:cfRule type="expression" priority="1684" id="{22AEC6C0-B9AE-4B02-895E-3F26250C71A1}">
            <xm:f>IF(Text!$AV$25=1,TRUE,FALSE)</xm:f>
            <x14:dxf>
              <font>
                <color theme="9" tint="-0.24994659260841701"/>
              </font>
            </x14:dxf>
          </x14:cfRule>
          <x14:cfRule type="expression" priority="1685" id="{F0F1227B-D122-4EAB-8AFC-90DCF3C95D05}">
            <xm:f>IF(Text!$AV$25=2,TRUE,FALSE)</xm:f>
            <x14:dxf>
              <font>
                <b/>
                <i val="0"/>
                <strike/>
                <color theme="9" tint="-0.24994659260841701"/>
              </font>
            </x14:dxf>
          </x14:cfRule>
          <xm:sqref>U121</xm:sqref>
        </x14:conditionalFormatting>
        <x14:conditionalFormatting xmlns:xm="http://schemas.microsoft.com/office/excel/2006/main">
          <x14:cfRule type="expression" priority="1668" id="{D32AC0F9-3A43-42B0-AD97-2A77E1B221C5}">
            <xm:f>IF(Text!$AV$28=-1,TRUE,FALSE)</xm:f>
            <x14:dxf>
              <font>
                <color rgb="FFFF0000"/>
              </font>
            </x14:dxf>
          </x14:cfRule>
          <x14:cfRule type="expression" priority="1669" id="{B1CAE934-F675-4C94-955E-696EB67E8A26}">
            <xm:f>IF(Text!$AV$28=1,TRUE,FALSE)</xm:f>
            <x14:dxf>
              <font>
                <color theme="9" tint="-0.24994659260841701"/>
              </font>
            </x14:dxf>
          </x14:cfRule>
          <x14:cfRule type="expression" priority="1670" id="{30D783F8-74A3-4C28-AE99-96912D3C45AC}">
            <xm:f>IF(Text!$AV$28=2,TRUE,FALSE)</xm:f>
            <x14:dxf>
              <font>
                <b/>
                <i val="0"/>
                <strike/>
                <color theme="9" tint="-0.24994659260841701"/>
              </font>
            </x14:dxf>
          </x14:cfRule>
          <xm:sqref>U125</xm:sqref>
        </x14:conditionalFormatting>
        <x14:conditionalFormatting xmlns:xm="http://schemas.microsoft.com/office/excel/2006/main">
          <x14:cfRule type="expression" priority="1663" id="{F29F95FA-0E04-4367-B2A2-488AFB653ED9}">
            <xm:f>IF(Text!$AV$29=-1,TRUE,FALSE)</xm:f>
            <x14:dxf>
              <font>
                <color rgb="FFFF0000"/>
              </font>
            </x14:dxf>
          </x14:cfRule>
          <x14:cfRule type="expression" priority="1664" id="{370EF548-9B3D-4A3E-BA0C-C14765A06235}">
            <xm:f>IF(Text!$AV$29=1,TRUE,FALSE)</xm:f>
            <x14:dxf>
              <font>
                <color theme="9" tint="-0.24994659260841701"/>
              </font>
            </x14:dxf>
          </x14:cfRule>
          <x14:cfRule type="expression" priority="1665" id="{ED6D9802-EB12-4DC4-880F-E87A16ECB4CA}">
            <xm:f>IF(Text!$AV$29=2,TRUE,FALSE)</xm:f>
            <x14:dxf>
              <font>
                <b/>
                <i val="0"/>
                <strike/>
                <color theme="9" tint="-0.24994659260841701"/>
              </font>
            </x14:dxf>
          </x14:cfRule>
          <xm:sqref>U126</xm:sqref>
        </x14:conditionalFormatting>
        <x14:conditionalFormatting xmlns:xm="http://schemas.microsoft.com/office/excel/2006/main">
          <x14:cfRule type="expression" priority="1658" id="{4A30939C-0392-44BC-ABF6-517D4FDCEBC6}">
            <xm:f>IF(Text!$AV$30=-1,TRUE,FALSE)</xm:f>
            <x14:dxf>
              <font>
                <color rgb="FFFF0000"/>
              </font>
            </x14:dxf>
          </x14:cfRule>
          <x14:cfRule type="expression" priority="1659" id="{0684548B-F9DE-4D6F-B428-4287B2639EC3}">
            <xm:f>IF(Text!$AV$30=1,TRUE,FALSE)</xm:f>
            <x14:dxf>
              <font>
                <color theme="9" tint="-0.24994659260841701"/>
              </font>
            </x14:dxf>
          </x14:cfRule>
          <x14:cfRule type="expression" priority="1660" id="{5CB1D0AD-6EBC-4F30-8FA2-00BAED44B38D}">
            <xm:f>IF(Text!$AV$30=2,TRUE,FALSE)</xm:f>
            <x14:dxf>
              <font>
                <b/>
                <i val="0"/>
                <strike/>
                <color theme="9" tint="-0.24994659260841701"/>
              </font>
            </x14:dxf>
          </x14:cfRule>
          <xm:sqref>U129</xm:sqref>
        </x14:conditionalFormatting>
        <x14:conditionalFormatting xmlns:xm="http://schemas.microsoft.com/office/excel/2006/main">
          <x14:cfRule type="expression" priority="1653" id="{426C1A6F-0A3C-4142-8870-2FFB5F122FFF}">
            <xm:f>IF(Text!$AV$31=-1,TRUE,FALSE)</xm:f>
            <x14:dxf>
              <font>
                <color rgb="FFFF0000"/>
              </font>
            </x14:dxf>
          </x14:cfRule>
          <x14:cfRule type="expression" priority="1654" id="{C48D4144-93D4-4A36-B97A-93598FF95D25}">
            <xm:f>IF(Text!$AV$31=1,TRUE,FALSE)</xm:f>
            <x14:dxf>
              <font>
                <color theme="9" tint="-0.24994659260841701"/>
              </font>
            </x14:dxf>
          </x14:cfRule>
          <x14:cfRule type="expression" priority="1655" id="{3C67EE26-063D-49D0-B355-C03A0D6796FB}">
            <xm:f>IF(Text!$AV$31=2,TRUE,FALSE)</xm:f>
            <x14:dxf>
              <font>
                <b/>
                <i val="0"/>
                <strike/>
                <color theme="9" tint="-0.24994659260841701"/>
              </font>
            </x14:dxf>
          </x14:cfRule>
          <xm:sqref>U136</xm:sqref>
        </x14:conditionalFormatting>
        <x14:conditionalFormatting xmlns:xm="http://schemas.microsoft.com/office/excel/2006/main">
          <x14:cfRule type="expression" priority="1648" id="{9CD987C8-A33E-41BB-AC14-242F218C40FC}">
            <xm:f>IF(Text!$AV$32=-1,TRUE,FALSE)</xm:f>
            <x14:dxf>
              <font>
                <color rgb="FFFF0000"/>
              </font>
            </x14:dxf>
          </x14:cfRule>
          <x14:cfRule type="expression" priority="1649" id="{B0482D96-E075-43EF-9925-FAD66CCA0FA8}">
            <xm:f>IF(Text!$AV$32=1,TRUE,FALSE)</xm:f>
            <x14:dxf>
              <font>
                <color theme="9" tint="-0.24994659260841701"/>
              </font>
            </x14:dxf>
          </x14:cfRule>
          <x14:cfRule type="expression" priority="1650" id="{E5EAE6F2-2E97-4098-927A-146C6B35F3EB}">
            <xm:f>IF(Text!$AV$32=2,TRUE,FALSE)</xm:f>
            <x14:dxf>
              <font>
                <b/>
                <i val="0"/>
                <strike/>
                <color theme="9" tint="-0.24994659260841701"/>
              </font>
            </x14:dxf>
          </x14:cfRule>
          <xm:sqref>U138</xm:sqref>
        </x14:conditionalFormatting>
        <x14:conditionalFormatting xmlns:xm="http://schemas.microsoft.com/office/excel/2006/main">
          <x14:cfRule type="expression" priority="1634" id="{0300480F-EA35-43D2-89E3-A868C42CA987}">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635" id="{E30A141A-395B-44D7-8394-F832C967E89B}">
            <xm:f>IF(Text!$AS$25=-1,TRUE,FALSE)</xm:f>
            <x14:dxf>
              <font>
                <color rgb="FFFF0000"/>
              </font>
            </x14:dxf>
          </x14:cfRule>
          <x14:cfRule type="expression" priority="1636" id="{40922657-10F3-4019-A7F9-EE54DDD45CCD}">
            <xm:f>IF(Text!$AS$25=1,TRUE,FALSE)</xm:f>
            <x14:dxf>
              <font>
                <color theme="9" tint="-0.24994659260841701"/>
              </font>
            </x14:dxf>
          </x14:cfRule>
          <x14:cfRule type="expression" priority="1637" id="{18531E3C-7314-49F3-B6BB-EE96E58E0CF4}">
            <xm:f>IF(Text!$AS$25=2,TRUE,FALSE)</xm:f>
            <x14:dxf>
              <font>
                <b/>
                <i val="0"/>
                <strike/>
                <color theme="9" tint="-0.24994659260841701"/>
              </font>
            </x14:dxf>
          </x14:cfRule>
          <xm:sqref>O147</xm:sqref>
        </x14:conditionalFormatting>
        <x14:conditionalFormatting xmlns:xm="http://schemas.microsoft.com/office/excel/2006/main">
          <x14:cfRule type="expression" priority="1602" id="{E899940A-ACE9-4093-9AE6-2EEF6037A313}">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603" id="{252CB6A0-9930-4BED-AA9D-A2BA0D200D84}">
            <xm:f>IF(Text!$AS$25=-1,TRUE,FALSE)</xm:f>
            <x14:dxf>
              <font>
                <color rgb="FFFF0000"/>
              </font>
            </x14:dxf>
          </x14:cfRule>
          <x14:cfRule type="expression" priority="1604" id="{A3F0BB42-9DE1-44F2-9FF5-8542CA5BF052}">
            <xm:f>IF(Text!$AS$25=1,TRUE,FALSE)</xm:f>
            <x14:dxf>
              <font>
                <color theme="9" tint="-0.24994659260841701"/>
              </font>
            </x14:dxf>
          </x14:cfRule>
          <x14:cfRule type="expression" priority="1605" id="{8102E63B-91E3-435B-9556-F8050A28133E}">
            <xm:f>IF(Text!$AS$25=2,TRUE,FALSE)</xm:f>
            <x14:dxf>
              <font>
                <b/>
                <i val="0"/>
                <strike/>
                <color theme="9" tint="-0.24994659260841701"/>
              </font>
            </x14:dxf>
          </x14:cfRule>
          <xm:sqref>O151</xm:sqref>
        </x14:conditionalFormatting>
        <x14:conditionalFormatting xmlns:xm="http://schemas.microsoft.com/office/excel/2006/main">
          <x14:cfRule type="expression" priority="1421" id="{B158777A-C33E-4F4B-93C6-6846714C19FA}">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422" id="{5BEA8181-1924-4317-8D34-A5E509E19A8E}">
            <xm:f>IF(Text!$AS$25=-1,TRUE,FALSE)</xm:f>
            <x14:dxf>
              <font>
                <color rgb="FFFF0000"/>
              </font>
            </x14:dxf>
          </x14:cfRule>
          <x14:cfRule type="expression" priority="1423" id="{7B0B2B69-BDE7-4FB5-A765-DFD7B625B6B5}">
            <xm:f>IF(Text!$AS$25=1,TRUE,FALSE)</xm:f>
            <x14:dxf>
              <font>
                <color theme="9" tint="-0.24994659260841701"/>
              </font>
            </x14:dxf>
          </x14:cfRule>
          <x14:cfRule type="expression" priority="1424" id="{4654A473-BF5A-44FF-A8F6-CBE9CB58ACD9}">
            <xm:f>IF(Text!$AS$25=2,TRUE,FALSE)</xm:f>
            <x14:dxf>
              <font>
                <b/>
                <i val="0"/>
                <strike/>
                <color theme="9" tint="-0.24994659260841701"/>
              </font>
            </x14:dxf>
          </x14:cfRule>
          <xm:sqref>O162</xm:sqref>
        </x14:conditionalFormatting>
        <x14:conditionalFormatting xmlns:xm="http://schemas.microsoft.com/office/excel/2006/main">
          <x14:cfRule type="expression" priority="1409" id="{4D6B5398-CBDC-4AFD-AAAD-D3DF672F650D}">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410" id="{EBECB3FD-82DA-43AC-A2DC-EA40B887C40B}">
            <xm:f>IF(Text!$AS$25=-1,TRUE,FALSE)</xm:f>
            <x14:dxf>
              <font>
                <color rgb="FFFF0000"/>
              </font>
            </x14:dxf>
          </x14:cfRule>
          <x14:cfRule type="expression" priority="1411" id="{5B1ED553-870E-4283-8531-3AE3B617CA1B}">
            <xm:f>IF(Text!$AS$25=1,TRUE,FALSE)</xm:f>
            <x14:dxf>
              <font>
                <color theme="9" tint="-0.24994659260841701"/>
              </font>
            </x14:dxf>
          </x14:cfRule>
          <x14:cfRule type="expression" priority="1412" id="{D855112F-8A1A-482C-B133-882324F9A622}">
            <xm:f>IF(Text!$AS$25=2,TRUE,FALSE)</xm:f>
            <x14:dxf>
              <font>
                <b/>
                <i val="0"/>
                <strike/>
                <color theme="9" tint="-0.24994659260841701"/>
              </font>
            </x14:dxf>
          </x14:cfRule>
          <xm:sqref>O166</xm:sqref>
        </x14:conditionalFormatting>
        <x14:conditionalFormatting xmlns:xm="http://schemas.microsoft.com/office/excel/2006/main">
          <x14:cfRule type="expression" priority="1342" id="{5C234B82-9683-4B96-B7C9-9ECB2EC42423}">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343" id="{619A5771-D951-4FD2-9526-D2DE9CADFEBC}">
            <xm:f>IF(Text!$AS$25=-1,TRUE,FALSE)</xm:f>
            <x14:dxf>
              <font>
                <color rgb="FFFF0000"/>
              </font>
            </x14:dxf>
          </x14:cfRule>
          <x14:cfRule type="expression" priority="1344" id="{BBBDB0BD-A75F-4CC7-914A-BE240505637E}">
            <xm:f>IF(Text!$AS$25=1,TRUE,FALSE)</xm:f>
            <x14:dxf>
              <font>
                <color theme="9" tint="-0.24994659260841701"/>
              </font>
            </x14:dxf>
          </x14:cfRule>
          <x14:cfRule type="expression" priority="1345" id="{75DDDA85-4C4F-4697-A1EC-0BB2B2751B1B}">
            <xm:f>IF(Text!$AS$25=2,TRUE,FALSE)</xm:f>
            <x14:dxf>
              <font>
                <b/>
                <i val="0"/>
                <strike/>
                <color theme="9" tint="-0.24994659260841701"/>
              </font>
            </x14:dxf>
          </x14:cfRule>
          <xm:sqref>O177</xm:sqref>
        </x14:conditionalFormatting>
        <x14:conditionalFormatting xmlns:xm="http://schemas.microsoft.com/office/excel/2006/main">
          <x14:cfRule type="expression" priority="10932" id="{106D7065-2CEB-4D8F-803B-A75E16D1213C}">
            <xm:f>IF(OR(Tool!$H$18="Klima-Check",Tool!$H$18="Check Climat",Tool!$H$18="Check Clima"),TRUE,FALSE)</xm:f>
            <x14:dxf>
              <fill>
                <patternFill>
                  <bgColor rgb="FFF0F0F0"/>
                </patternFill>
              </fill>
            </x14:dxf>
          </x14:cfRule>
          <x14:cfRule type="expression" priority="10934" id="{72AE88E3-3726-4AED-B2C6-D47620163C92}">
            <xm:f>IF(Text!$AS$23=-1,TRUE,FALSE)</xm:f>
            <x14:dxf>
              <font>
                <color rgb="FFFF0000"/>
              </font>
            </x14:dxf>
          </x14:cfRule>
          <x14:cfRule type="expression" priority="10935" id="{94F5A213-71B6-436B-A2DD-F03FB4FA1D13}">
            <xm:f>IF(Text!$AS$23=1,TRUE,FALSE)</xm:f>
            <x14:dxf>
              <font>
                <color theme="9" tint="-0.24994659260841701"/>
              </font>
            </x14:dxf>
          </x14:cfRule>
          <x14:cfRule type="expression" priority="10936" id="{25C48019-9959-4A02-88D7-F63331B464A3}">
            <xm:f>IF(Text!$AS$23=2,TRUE,FALSE)</xm:f>
            <x14:dxf>
              <font>
                <b/>
                <i val="0"/>
                <strike/>
                <color theme="9" tint="-0.24994659260841701"/>
              </font>
            </x14:dxf>
          </x14:cfRule>
          <xm:sqref>H119</xm:sqref>
        </x14:conditionalFormatting>
        <x14:conditionalFormatting xmlns:xm="http://schemas.microsoft.com/office/excel/2006/main">
          <x14:cfRule type="expression" priority="10937" id="{F4140F73-4F29-4A1A-8545-12F4D8E70D25}">
            <xm:f>IF(OR(Tool!$H$18="Klima-Check",Tool!$H$18="Check Climat",Tool!$H$18="Check Clima"),TRUE,FALSE)</xm:f>
            <x14:dxf>
              <fill>
                <patternFill>
                  <bgColor rgb="FFF0F0F0"/>
                </patternFill>
              </fill>
            </x14:dxf>
          </x14:cfRule>
          <x14:cfRule type="expression" priority="10939" id="{C0069205-78C4-4E1E-978E-7EDABF692453}">
            <xm:f>IF(Text!$AS$25=-1,TRUE,FALSE)</xm:f>
            <x14:dxf>
              <font>
                <color rgb="FFFF0000"/>
              </font>
            </x14:dxf>
          </x14:cfRule>
          <x14:cfRule type="expression" priority="10940" id="{50310401-3798-4BBD-B90F-BB40D2C18794}">
            <xm:f>IF(Text!$AS$25=1,TRUE,FALSE)</xm:f>
            <x14:dxf>
              <font>
                <color theme="9" tint="-0.24994659260841701"/>
              </font>
            </x14:dxf>
          </x14:cfRule>
          <x14:cfRule type="expression" priority="10941" id="{C53705FB-AA54-4CDF-9B69-BE16C237B5BF}">
            <xm:f>IF(Text!$AS$25=2,TRUE,FALSE)</xm:f>
            <x14:dxf>
              <font>
                <b/>
                <i val="0"/>
                <strike/>
                <color theme="9" tint="-0.24994659260841701"/>
              </font>
            </x14:dxf>
          </x14:cfRule>
          <xm:sqref>H122</xm:sqref>
        </x14:conditionalFormatting>
        <x14:conditionalFormatting xmlns:xm="http://schemas.microsoft.com/office/excel/2006/main">
          <x14:cfRule type="expression" priority="10942" id="{467CD664-E544-472E-8648-EB80E5D34EB0}">
            <xm:f>IF(OR(Tool!$H$18="Klima-Check",Tool!$H$18="Check Climat",Tool!$H$18="Check Clima"),TRUE,FALSE)</xm:f>
            <x14:dxf>
              <fill>
                <patternFill>
                  <bgColor rgb="FFF0F0F0"/>
                </patternFill>
              </fill>
            </x14:dxf>
          </x14:cfRule>
          <x14:cfRule type="expression" priority="10944" id="{E494BF0B-6C06-4EA4-8308-07289FEC0AE6}">
            <xm:f>IF(Text!$AS$26=-1,TRUE,FALSE)</xm:f>
            <x14:dxf>
              <font>
                <color rgb="FFFF0000"/>
              </font>
            </x14:dxf>
          </x14:cfRule>
          <x14:cfRule type="expression" priority="10945" id="{B5CB8A02-0BA7-4262-B623-1EAF9265015F}">
            <xm:f>IF(Text!$AS$26=1,TRUE,FALSE)</xm:f>
            <x14:dxf>
              <font>
                <color theme="9" tint="-0.24994659260841701"/>
              </font>
            </x14:dxf>
          </x14:cfRule>
          <x14:cfRule type="expression" priority="10946" id="{2B7EEFE3-423C-4ACC-AEF4-0DAD3E64650E}">
            <xm:f>IF(Text!$AS$26=2,TRUE,FALSE)</xm:f>
            <x14:dxf>
              <font>
                <b/>
                <i val="0"/>
                <strike/>
                <color theme="9" tint="-0.24994659260841701"/>
              </font>
            </x14:dxf>
          </x14:cfRule>
          <xm:sqref>H125</xm:sqref>
        </x14:conditionalFormatting>
        <x14:conditionalFormatting xmlns:xm="http://schemas.microsoft.com/office/excel/2006/main">
          <x14:cfRule type="expression" priority="10947" id="{395C99B0-F960-411B-97B2-514C67CED37F}">
            <xm:f>IF(OR(Tool!$H$18="Klima-Check",Tool!$H$18="Check Climat",Tool!$H$18="Check Clima"),TRUE,FALSE)</xm:f>
            <x14:dxf>
              <fill>
                <patternFill>
                  <bgColor rgb="FFF0F0F0"/>
                </patternFill>
              </fill>
            </x14:dxf>
          </x14:cfRule>
          <x14:cfRule type="expression" priority="10949" id="{F03E7F08-A148-4837-A210-10AC01F7922B}">
            <xm:f>IF(Text!$AS$27=-1,TRUE,FALSE)</xm:f>
            <x14:dxf>
              <font>
                <color rgb="FFFF0000"/>
              </font>
            </x14:dxf>
          </x14:cfRule>
          <x14:cfRule type="expression" priority="10950" id="{6A732AF0-3356-42F3-8851-67BE73C0414E}">
            <xm:f>IF(Text!$AS$27=1,TRUE,FALSE)</xm:f>
            <x14:dxf>
              <font>
                <color theme="9" tint="-0.24994659260841701"/>
              </font>
            </x14:dxf>
          </x14:cfRule>
          <x14:cfRule type="expression" priority="10951" id="{A28D6B52-89E0-4CDE-A559-FF7FD6A51718}">
            <xm:f>IF(Text!$AS$27=2,TRUE,FALSE)</xm:f>
            <x14:dxf>
              <font>
                <b/>
                <i val="0"/>
                <strike/>
                <color theme="9" tint="-0.24994659260841701"/>
              </font>
            </x14:dxf>
          </x14:cfRule>
          <xm:sqref>H126</xm:sqref>
        </x14:conditionalFormatting>
        <x14:conditionalFormatting xmlns:xm="http://schemas.microsoft.com/office/excel/2006/main">
          <x14:cfRule type="expression" priority="10957" id="{0A6F92AC-2E1F-40AE-9C6F-D476B24C77FF}">
            <xm:f>IF(OR(Tool!$H$18="Klima-Check",Tool!$H$18="Check Climat",Tool!$H$18="Check Clima"),TRUE,FALSE)</xm:f>
            <x14:dxf>
              <fill>
                <patternFill>
                  <bgColor rgb="FFF0F0F0"/>
                </patternFill>
              </fill>
            </x14:dxf>
          </x14:cfRule>
          <x14:cfRule type="expression" priority="10959" id="{B334317D-504F-45D5-821E-0E91ECEBAC5A}">
            <xm:f>IF(Text!$AS$29=-1,TRUE,FALSE)</xm:f>
            <x14:dxf>
              <font>
                <color rgb="FFFF0000"/>
              </font>
            </x14:dxf>
          </x14:cfRule>
          <x14:cfRule type="expression" priority="10960" id="{21C08498-C341-459E-940E-7489E79CF9F2}">
            <xm:f>IF(Text!$AS$29=1,TRUE,FALSE)</xm:f>
            <x14:dxf>
              <font>
                <color theme="9" tint="-0.24994659260841701"/>
              </font>
            </x14:dxf>
          </x14:cfRule>
          <x14:cfRule type="expression" priority="10961" id="{039D4EDE-4F7B-472A-B6D7-289E1C6D5DE9}">
            <xm:f>IF(Text!$AS$29=2,TRUE,FALSE)</xm:f>
            <x14:dxf>
              <font>
                <b/>
                <i val="0"/>
                <strike/>
                <color theme="9" tint="-0.24994659260841701"/>
              </font>
            </x14:dxf>
          </x14:cfRule>
          <xm:sqref>H130</xm:sqref>
        </x14:conditionalFormatting>
        <x14:conditionalFormatting xmlns:xm="http://schemas.microsoft.com/office/excel/2006/main">
          <x14:cfRule type="expression" priority="10962" id="{4C5DC8F0-C754-4490-958D-D0A6655480E8}">
            <xm:f>IF(OR(Tool!$H$18="Klima-Check",Tool!$H$18="Check Climat",Tool!$H$18="Check Clima"),TRUE,FALSE)</xm:f>
            <x14:dxf>
              <fill>
                <patternFill>
                  <bgColor rgb="FFF0F0F0"/>
                </patternFill>
              </fill>
            </x14:dxf>
          </x14:cfRule>
          <x14:cfRule type="expression" priority="10964" id="{A3769A11-08EF-4F43-86DC-5937524B3F2B}">
            <xm:f>IF(Text!$AS$30=-1,TRUE,FALSE)</xm:f>
            <x14:dxf>
              <font>
                <color rgb="FFFF0000"/>
              </font>
            </x14:dxf>
          </x14:cfRule>
          <x14:cfRule type="expression" priority="10965" id="{3FAFD068-ED49-4D52-8958-96A579C9A323}">
            <xm:f>IF(Text!$AS$30=1,TRUE,FALSE)</xm:f>
            <x14:dxf>
              <font>
                <color theme="9" tint="-0.24994659260841701"/>
              </font>
            </x14:dxf>
          </x14:cfRule>
          <x14:cfRule type="expression" priority="10966" id="{E2C19A94-8348-438A-A0CC-8218F30FB522}">
            <xm:f>IF(Text!$AS$30=2,TRUE,FALSE)</xm:f>
            <x14:dxf>
              <font>
                <b/>
                <i val="0"/>
                <strike/>
                <color theme="9" tint="-0.24994659260841701"/>
              </font>
            </x14:dxf>
          </x14:cfRule>
          <xm:sqref>H133</xm:sqref>
        </x14:conditionalFormatting>
        <x14:conditionalFormatting xmlns:xm="http://schemas.microsoft.com/office/excel/2006/main">
          <x14:cfRule type="expression" priority="10967" id="{4F94AC04-6979-45C7-A5C8-D2400F7CC57E}">
            <xm:f>IF(OR(Tool!$H$18="Klima-Check",Tool!$H$18="Check Climat",Tool!$H$18="Check Clima"),TRUE,FALSE)</xm:f>
            <x14:dxf>
              <fill>
                <patternFill>
                  <bgColor rgb="FFF0F0F0"/>
                </patternFill>
              </fill>
            </x14:dxf>
          </x14:cfRule>
          <x14:cfRule type="expression" priority="10969" id="{D1378F05-02EE-4C3A-AF47-5697161E459B}">
            <xm:f>IF(Text!$AS$31=-1,TRUE,FALSE)</xm:f>
            <x14:dxf>
              <font>
                <color rgb="FFFF0000"/>
              </font>
            </x14:dxf>
          </x14:cfRule>
          <x14:cfRule type="expression" priority="10970" id="{E882AB93-82C7-46B3-8079-B3453A3A7762}">
            <xm:f>IF(Text!$AS$31=1,TRUE,FALSE)</xm:f>
            <x14:dxf>
              <font>
                <color theme="9" tint="-0.24994659260841701"/>
              </font>
            </x14:dxf>
          </x14:cfRule>
          <x14:cfRule type="expression" priority="10971" id="{61D9ABD7-8008-4E6D-9576-6358D06A0F03}">
            <xm:f>IF(Text!$AS$31=2,TRUE,FALSE)</xm:f>
            <x14:dxf>
              <font>
                <b/>
                <i val="0"/>
                <strike/>
                <color theme="9" tint="-0.24994659260841701"/>
              </font>
            </x14:dxf>
          </x14:cfRule>
          <xm:sqref>H134</xm:sqref>
        </x14:conditionalFormatting>
        <x14:conditionalFormatting xmlns:xm="http://schemas.microsoft.com/office/excel/2006/main">
          <x14:cfRule type="expression" priority="10972" id="{430B519B-18EB-4BB1-94B8-242ADF920EAF}">
            <xm:f>IF(OR(Tool!$H$18="Klima-Check",Tool!$H$18="Check Climat",Tool!$H$18="Check Clima"),TRUE,FALSE)</xm:f>
            <x14:dxf>
              <fill>
                <patternFill>
                  <bgColor rgb="FFF0F0F0"/>
                </patternFill>
              </fill>
            </x14:dxf>
          </x14:cfRule>
          <x14:cfRule type="expression" priority="10974" id="{4F0BB74A-3EB3-4F1E-8D56-D8D983FEC0EA}">
            <xm:f>IF(Text!$AS$32=-1,TRUE,FALSE)</xm:f>
            <x14:dxf>
              <font>
                <color rgb="FFFF0000"/>
              </font>
            </x14:dxf>
          </x14:cfRule>
          <x14:cfRule type="expression" priority="10975" id="{986C43A0-EC94-4CA2-BC29-62D39369DBA6}">
            <xm:f>IF(Text!$AS$32=1,TRUE,FALSE)</xm:f>
            <x14:dxf>
              <font>
                <color theme="9" tint="-0.24994659260841701"/>
              </font>
            </x14:dxf>
          </x14:cfRule>
          <x14:cfRule type="expression" priority="10976" id="{123AAF3E-D0A7-4D88-9B7E-E178C3C834DD}">
            <xm:f>IF(Text!$AS$32=2,TRUE,FALSE)</xm:f>
            <x14:dxf>
              <font>
                <b/>
                <i val="0"/>
                <strike/>
                <color theme="9" tint="-0.24994659260841701"/>
              </font>
            </x14:dxf>
          </x14:cfRule>
          <xm:sqref>H135</xm:sqref>
        </x14:conditionalFormatting>
        <x14:conditionalFormatting xmlns:xm="http://schemas.microsoft.com/office/excel/2006/main">
          <x14:cfRule type="expression" priority="10977" id="{ED5FC491-EFA7-4A35-A156-CFB14D782CEB}">
            <xm:f>IF(OR(Tool!$H$18="Klima-Check",Tool!$H$18="Check Climat",Tool!$H$18="Check Clima"),TRUE,FALSE)</xm:f>
            <x14:dxf>
              <fill>
                <patternFill>
                  <bgColor rgb="FFF0F0F0"/>
                </patternFill>
              </fill>
            </x14:dxf>
          </x14:cfRule>
          <x14:cfRule type="expression" priority="10979" id="{0AF56664-0900-41E2-8679-92AE1EF4EF0E}">
            <xm:f>IF(Text!$AS$33=-1,TRUE,FALSE)</xm:f>
            <x14:dxf>
              <font>
                <color rgb="FFFF0000"/>
              </font>
            </x14:dxf>
          </x14:cfRule>
          <x14:cfRule type="expression" priority="10980" id="{A2EA9FCC-48E6-4370-A7B2-680E8FD3A75E}">
            <xm:f>IF(Text!$AS$33=1,TRUE,FALSE)</xm:f>
            <x14:dxf>
              <font>
                <color theme="9" tint="-0.24994659260841701"/>
              </font>
            </x14:dxf>
          </x14:cfRule>
          <x14:cfRule type="expression" priority="10981" id="{A07AF49F-9507-43F5-9C77-60C838C6EA49}">
            <xm:f>IF(Text!$AS$33=2,TRUE,FALSE)</xm:f>
            <x14:dxf>
              <font>
                <b/>
                <i val="0"/>
                <strike/>
                <color theme="9" tint="-0.24994659260841701"/>
              </font>
            </x14:dxf>
          </x14:cfRule>
          <xm:sqref>H136</xm:sqref>
        </x14:conditionalFormatting>
        <x14:conditionalFormatting xmlns:xm="http://schemas.microsoft.com/office/excel/2006/main">
          <x14:cfRule type="expression" priority="10982" id="{9785071D-CFD4-4034-A4F4-80752FAC217E}">
            <xm:f>IF(OR(Tool!$H$18="Klima-Check",Tool!$H$18="Check Climat",Tool!$H$18="Check Clima"),TRUE,FALSE)</xm:f>
            <x14:dxf>
              <fill>
                <patternFill>
                  <bgColor rgb="FFF0F0F0"/>
                </patternFill>
              </fill>
            </x14:dxf>
          </x14:cfRule>
          <x14:cfRule type="expression" priority="10984" id="{AE25EE96-1519-4776-BE04-C2749544945D}">
            <xm:f>IF(Text!$AS$34=-1,TRUE,FALSE)</xm:f>
            <x14:dxf>
              <font>
                <color rgb="FFFF0000"/>
              </font>
            </x14:dxf>
          </x14:cfRule>
          <x14:cfRule type="expression" priority="10985" id="{D0154954-8195-4C70-B47D-90DC2A68F9BE}">
            <xm:f>IF(Text!$AS$34=1,TRUE,FALSE)</xm:f>
            <x14:dxf>
              <font>
                <color theme="9" tint="-0.24994659260841701"/>
              </font>
            </x14:dxf>
          </x14:cfRule>
          <x14:cfRule type="expression" priority="10986" id="{7C0EE331-F854-4D68-B568-B30F15E8B639}">
            <xm:f>IF(Text!$AS$34=2,TRUE,FALSE)</xm:f>
            <x14:dxf>
              <font>
                <b/>
                <i val="0"/>
                <strike/>
                <color theme="9" tint="-0.24994659260841701"/>
              </font>
            </x14:dxf>
          </x14:cfRule>
          <xm:sqref>H137</xm:sqref>
        </x14:conditionalFormatting>
        <x14:conditionalFormatting xmlns:xm="http://schemas.microsoft.com/office/excel/2006/main">
          <x14:cfRule type="expression" priority="10987" id="{7E473727-8682-4A8D-99E9-1E50DEEA91E2}">
            <xm:f>IF(OR(Tool!$H$18="Klima-Check",Tool!$H$18="Check Climat",Tool!$H$18="Check Clima"),TRUE,FALSE)</xm:f>
            <x14:dxf>
              <fill>
                <patternFill>
                  <bgColor rgb="FFF0F0F0"/>
                </patternFill>
              </fill>
            </x14:dxf>
          </x14:cfRule>
          <x14:cfRule type="expression" priority="10989" id="{5C1AD282-500E-4ED1-A2D2-E325FDE56074}">
            <xm:f>IF(Text!$AS$35=-1,TRUE,FALSE)</xm:f>
            <x14:dxf>
              <font>
                <color rgb="FFFF0000"/>
              </font>
            </x14:dxf>
          </x14:cfRule>
          <x14:cfRule type="expression" priority="10990" id="{BD906DE4-AE37-4693-9FB1-D87010402D9F}">
            <xm:f>IF(Text!$AS$35=1,TRUE,FALSE)</xm:f>
            <x14:dxf>
              <font>
                <color theme="9" tint="-0.24994659260841701"/>
              </font>
            </x14:dxf>
          </x14:cfRule>
          <x14:cfRule type="expression" priority="10991" id="{47487A43-BCFF-40CC-ADA7-2277DB303D82}">
            <xm:f>IF(Text!$AS$35=2,TRUE,FALSE)</xm:f>
            <x14:dxf>
              <font>
                <b/>
                <i val="0"/>
                <strike/>
                <color theme="9" tint="-0.24994659260841701"/>
              </font>
            </x14:dxf>
          </x14:cfRule>
          <xm:sqref>H138</xm:sqref>
        </x14:conditionalFormatting>
        <x14:conditionalFormatting xmlns:xm="http://schemas.microsoft.com/office/excel/2006/main">
          <x14:cfRule type="expression" priority="10992" id="{8AD7D6B8-E2B6-41E2-AC11-2E2FD83401F0}">
            <xm:f>IF(OR(Tool!$H$18="Klima-Check",Tool!$H$18="Check Climat",Tool!$H$18="Check Clima"),TRUE,FALSE)</xm:f>
            <x14:dxf>
              <fill>
                <patternFill>
                  <bgColor rgb="FFF0F0F0"/>
                </patternFill>
              </fill>
            </x14:dxf>
          </x14:cfRule>
          <x14:cfRule type="expression" priority="10994" id="{219B3203-2AF5-4128-833D-ABBD1A95484E}">
            <xm:f>IF(Text!$AS$36=-1,TRUE,FALSE)</xm:f>
            <x14:dxf>
              <font>
                <color rgb="FFFF0000"/>
              </font>
            </x14:dxf>
          </x14:cfRule>
          <x14:cfRule type="expression" priority="10995" id="{6408C55E-1732-425D-ACD6-F71AB86574CB}">
            <xm:f>IF(Text!$AS$36=1,TRUE,FALSE)</xm:f>
            <x14:dxf>
              <font>
                <color theme="9" tint="-0.24994659260841701"/>
              </font>
            </x14:dxf>
          </x14:cfRule>
          <x14:cfRule type="expression" priority="10996" id="{3F1B5740-B563-4747-9799-673348C87611}">
            <xm:f>IF(Text!$AS$36=2,TRUE,FALSE)</xm:f>
            <x14:dxf>
              <font>
                <b/>
                <i val="0"/>
                <strike/>
                <color theme="9" tint="-0.24994659260841701"/>
              </font>
            </x14:dxf>
          </x14:cfRule>
          <xm:sqref>H139</xm:sqref>
        </x14:conditionalFormatting>
        <x14:conditionalFormatting xmlns:xm="http://schemas.microsoft.com/office/excel/2006/main">
          <x14:cfRule type="expression" priority="11007" id="{8724C968-9D12-473F-B53E-F1F955F2C35F}">
            <xm:f>IF(Tool!$H$18="Pre-Check",TRUE,FALSE)</xm:f>
            <x14:dxf>
              <fill>
                <patternFill>
                  <bgColor rgb="FFF0F0F0"/>
                </patternFill>
              </fill>
            </x14:dxf>
          </x14:cfRule>
          <xm:sqref>U119:U123 U125:U126 U129 U136 U138</xm:sqref>
        </x14:conditionalFormatting>
        <x14:conditionalFormatting xmlns:xm="http://schemas.microsoft.com/office/excel/2006/main">
          <x14:cfRule type="expression" priority="11017" id="{98C3185E-202C-4110-A885-343D4A10A381}">
            <xm:f>IF(Tool!$H$18="Pre-Check",TRUE,FALSE)</xm:f>
            <x14:dxf>
              <fill>
                <patternFill>
                  <bgColor rgb="FFF0F0F0"/>
                </patternFill>
              </fill>
            </x14:dxf>
          </x14:cfRule>
          <x14:cfRule type="expression" priority="11019" id="{F3FEAD61-FE8A-4CC5-951A-CE59E54BDAB4}">
            <xm:f>IF(Text!$AV$38=-1,TRUE,FALSE)</xm:f>
            <x14:dxf>
              <font>
                <color rgb="FFFF0000"/>
              </font>
            </x14:dxf>
          </x14:cfRule>
          <x14:cfRule type="expression" priority="11020" id="{888083BA-09B3-49DC-9906-83EDEF86308C}">
            <xm:f>IF(Text!$AV$38=1,TRUE,FALSE)</xm:f>
            <x14:dxf>
              <font>
                <color theme="9" tint="-0.24994659260841701"/>
              </font>
            </x14:dxf>
          </x14:cfRule>
          <x14:cfRule type="expression" priority="11021" id="{6C06FB09-0BF1-4027-8A12-94BFA113394F}">
            <xm:f>IF(Text!$AV$38=2,TRUE,FALSE)</xm:f>
            <x14:dxf>
              <font>
                <b/>
                <i val="0"/>
                <strike/>
                <color theme="9" tint="-0.24994659260841701"/>
              </font>
            </x14:dxf>
          </x14:cfRule>
          <xm:sqref>U145</xm:sqref>
        </x14:conditionalFormatting>
        <x14:conditionalFormatting xmlns:xm="http://schemas.microsoft.com/office/excel/2006/main">
          <x14:cfRule type="expression" priority="11032" id="{8577BA4B-4C32-4E5A-92D2-95E3820F4E02}">
            <xm:f>IF(Tool!$H$18="Pre-Check",TRUE,FALSE)</xm:f>
            <x14:dxf>
              <fill>
                <patternFill>
                  <bgColor rgb="FFF0F0F0"/>
                </patternFill>
              </fill>
            </x14:dxf>
          </x14:cfRule>
          <x14:cfRule type="expression" priority="11033" id="{BF4C980C-B0CD-4458-8C1B-B2517247666E}">
            <xm:f>IF(Text!$AV$39=-2,TRUE,FALSE)</xm:f>
            <x14:dxf>
              <font>
                <b/>
                <i val="0"/>
                <color rgb="FFFF0000"/>
              </font>
              <border>
                <left style="thin">
                  <color rgb="FFFF0000"/>
                </left>
                <right style="thin">
                  <color rgb="FFFF0000"/>
                </right>
                <top style="thin">
                  <color rgb="FFFF0000"/>
                </top>
                <bottom style="thin">
                  <color rgb="FFFF0000"/>
                </bottom>
              </border>
            </x14:dxf>
          </x14:cfRule>
          <x14:cfRule type="expression" priority="11034" id="{7CEB5892-9289-416D-B2AF-7A2DD682B3C4}">
            <xm:f>IF(Text!$AV$39=-1,TRUE,FALSE)</xm:f>
            <x14:dxf>
              <font>
                <color rgb="FFFF0000"/>
              </font>
            </x14:dxf>
          </x14:cfRule>
          <x14:cfRule type="expression" priority="11035" id="{FD1853CF-3A1C-4B7C-B359-E1106702E03B}">
            <xm:f>IF(Text!$AV$39=1,TRUE,FALSE)</xm:f>
            <x14:dxf>
              <font>
                <color theme="9" tint="-0.24994659260841701"/>
              </font>
            </x14:dxf>
          </x14:cfRule>
          <x14:cfRule type="expression" priority="11036" id="{080497E8-7442-4D4F-B358-2803FCE6BD93}">
            <xm:f>IF(Text!$AV$39=2,TRUE,FALSE)</xm:f>
            <x14:dxf>
              <font>
                <b/>
                <i val="0"/>
                <strike/>
                <color theme="9" tint="-0.24994659260841701"/>
              </font>
            </x14:dxf>
          </x14:cfRule>
          <xm:sqref>U164 U175 U168:U170 U173</xm:sqref>
        </x14:conditionalFormatting>
        <x14:conditionalFormatting xmlns:xm="http://schemas.microsoft.com/office/excel/2006/main">
          <x14:cfRule type="expression" priority="11072" id="{4E84FC96-D471-4C7F-870C-FB77DA1A2611}">
            <xm:f>IF(Tool!$H$18="Pre-Check",TRUE,FALSE)</xm:f>
            <x14:dxf>
              <fill>
                <patternFill>
                  <bgColor rgb="FFF0F0F0"/>
                </patternFill>
              </fill>
            </x14:dxf>
          </x14:cfRule>
          <x14:cfRule type="expression" priority="11073" id="{128781A2-D1CE-4BC8-9B64-C63653D21D8B}">
            <xm:f>IF(Text!$AV$47=-2,TRUE,FALSE)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1074" id="{C0EDF5D6-BCC7-4021-8572-7FAAE539CA52}">
            <xm:f>IF(Text!$AV$47=-1,TRUE,FALSE)</xm:f>
            <x14:dxf>
              <font>
                <color rgb="FFFF0000"/>
              </font>
            </x14:dxf>
          </x14:cfRule>
          <x14:cfRule type="expression" priority="11075" id="{C18578BA-7650-4824-919C-CB5EAD84E58B}">
            <xm:f>IF(Text!$AV$47=1,TRUE,FALSE)</xm:f>
            <x14:dxf>
              <font>
                <color theme="9" tint="-0.24994659260841701"/>
              </font>
            </x14:dxf>
          </x14:cfRule>
          <x14:cfRule type="expression" priority="11076" id="{68AB1EAE-A324-47FA-ADE1-C2D69DFC9FAD}">
            <xm:f>IF(Text!$AV$47=2,TRUE,FALSE)</xm:f>
            <x14:dxf>
              <font>
                <b/>
                <i val="0"/>
                <strike/>
                <color theme="9" tint="-0.24994659260841701"/>
              </font>
            </x14:dxf>
          </x14:cfRule>
          <xm:sqref>U165</xm:sqref>
        </x14:conditionalFormatting>
        <x14:conditionalFormatting xmlns:xm="http://schemas.microsoft.com/office/excel/2006/main">
          <x14:cfRule type="expression" priority="11077" id="{F1F80E84-0856-46B1-AB6C-CB125FB185FF}">
            <xm:f>IF(Tool!$H$18="Pre-Check",TRUE,FALSE)</xm:f>
            <x14:dxf>
              <fill>
                <patternFill>
                  <bgColor rgb="FFF0F0F0"/>
                </patternFill>
              </fill>
            </x14:dxf>
          </x14:cfRule>
          <x14:cfRule type="expression" priority="11079" id="{4E94D85E-C681-49DA-AA2D-A84EA7E1F3D2}">
            <xm:f>IF(Text!$AV$48=-1,TRUE,FALSE)</xm:f>
            <x14:dxf>
              <font>
                <color rgb="FFFF0000"/>
              </font>
            </x14:dxf>
          </x14:cfRule>
          <x14:cfRule type="expression" priority="11080" id="{7B821C01-4812-4B72-AA37-BDF6FE3A1ABE}">
            <xm:f>IF(Text!$AV$48=1,TRUE,FALSE)</xm:f>
            <x14:dxf>
              <font>
                <color theme="9" tint="-0.24994659260841701"/>
              </font>
            </x14:dxf>
          </x14:cfRule>
          <x14:cfRule type="expression" priority="11081" id="{15658C0B-6979-4BAA-B353-618203FCF625}">
            <xm:f>IF(Text!$AV$48=2,TRUE,FALSE)</xm:f>
            <x14:dxf>
              <font>
                <b/>
                <i val="0"/>
                <strike/>
                <color theme="9" tint="-0.24994659260841701"/>
              </font>
            </x14:dxf>
          </x14:cfRule>
          <xm:sqref>U171</xm:sqref>
        </x14:conditionalFormatting>
        <x14:conditionalFormatting xmlns:xm="http://schemas.microsoft.com/office/excel/2006/main">
          <x14:cfRule type="expression" priority="11082" id="{D91F6D7C-9879-4401-9AEA-000E72557963}">
            <xm:f>IF(Tool!$H$18="Pre-Check",TRUE,FALSE)</xm:f>
            <x14:dxf>
              <fill>
                <patternFill>
                  <bgColor rgb="FFF0F0F0"/>
                </patternFill>
              </fill>
            </x14:dxf>
          </x14:cfRule>
          <x14:cfRule type="expression" priority="11084" id="{569C9441-365F-4713-B06D-32A6877DBE1A}">
            <xm:f>IF(Text!$AV$49=-1,TRUE,FALSE)</xm:f>
            <x14:dxf>
              <font>
                <color rgb="FFFF0000"/>
              </font>
            </x14:dxf>
          </x14:cfRule>
          <x14:cfRule type="expression" priority="11085" id="{2B3AD038-88B9-4620-8CA4-049B298D2F2F}">
            <xm:f>IF(Text!$AV$49=1,TRUE,FALSE)</xm:f>
            <x14:dxf>
              <font>
                <color theme="9" tint="-0.24994659260841701"/>
              </font>
            </x14:dxf>
          </x14:cfRule>
          <x14:cfRule type="expression" priority="11086" id="{D4C9CA89-2AF0-4EB1-9CBD-E0407D0CEEC9}">
            <xm:f>IF(Text!$AV$49=2,TRUE,FALSE)</xm:f>
            <x14:dxf>
              <font>
                <b/>
                <i val="0"/>
                <strike/>
                <color theme="9" tint="-0.24994659260841701"/>
              </font>
            </x14:dxf>
          </x14:cfRule>
          <xm:sqref>U176</xm:sqref>
        </x14:conditionalFormatting>
        <x14:conditionalFormatting xmlns:xm="http://schemas.microsoft.com/office/excel/2006/main">
          <x14:cfRule type="expression" priority="11087" id="{57DB6806-497D-48F8-B5F5-54ECF3E42A98}">
            <xm:f>IF(Tool!$H$18="Pre-Check",TRUE,FALSE)</xm:f>
            <x14:dxf>
              <font>
                <color theme="0"/>
              </font>
              <fill>
                <patternFill>
                  <bgColor theme="0" tint="-0.34998626667073579"/>
                </patternFill>
              </fill>
            </x14:dxf>
          </x14:cfRule>
          <xm:sqref>U116 AA116:AB116 U142 AA142:AB142 U157 AA157:AB157 U179 AA179:AB179 U27 AA27:AB27 U29 AA29:AB29 U31 AA31:AB31 U33 AA33:AB33</xm:sqref>
        </x14:conditionalFormatting>
        <x14:conditionalFormatting xmlns:xm="http://schemas.microsoft.com/office/excel/2006/main">
          <x14:cfRule type="expression" priority="11095" id="{91BC250A-0AC9-49B3-9913-906F2C4845CE}">
            <xm:f>IF(Tool!$H$18="Pre-Check",TRUE,FALSE)</xm:f>
            <x14:dxf>
              <font>
                <color theme="1"/>
              </font>
              <fill>
                <patternFill>
                  <bgColor theme="0" tint="-0.14996795556505021"/>
                </patternFill>
              </fill>
              <border>
                <left style="thin">
                  <color theme="0" tint="-0.34998626667073579"/>
                </left>
                <right style="thin">
                  <color theme="0" tint="-0.34998626667073579"/>
                </right>
                <top style="thin">
                  <color theme="0" tint="-0.34998626667073579"/>
                </top>
                <bottom style="thin">
                  <color theme="0" tint="-0.34998626667073579"/>
                </bottom>
              </border>
            </x14:dxf>
          </x14:cfRule>
          <xm:sqref>AB144:AF155 AB159:AF177 AB118:AF139</xm:sqref>
        </x14:conditionalFormatting>
        <x14:conditionalFormatting xmlns:xm="http://schemas.microsoft.com/office/excel/2006/main">
          <x14:cfRule type="expression" priority="11125" id="{9F94778E-B44C-4336-9485-803B07E35426}">
            <xm:f>IF(OR(Tool!$H$18="Klima-Check",Tool!$H$18="Check Climat",Tool!$H$18="Check Clima"),TRUE,FALSE)</xm:f>
            <x14:dxf>
              <fill>
                <patternFill>
                  <bgColor rgb="FFF0F0F0"/>
                </patternFill>
              </fill>
            </x14:dxf>
          </x14:cfRule>
          <x14:cfRule type="expression" priority="11127" id="{80806834-91E8-4123-A44B-8C6EB7D11F7E}">
            <xm:f>IF(Text!$AS$38=-1,TRUE,FALSE)</xm:f>
            <x14:dxf>
              <font>
                <color rgb="FFFF0000"/>
              </font>
            </x14:dxf>
          </x14:cfRule>
          <x14:cfRule type="expression" priority="11128" id="{683047F5-1DEC-4E64-861E-4DFBE3FAECBA}">
            <xm:f>IF(Text!$AS$38=1,TRUE,FALSE)</xm:f>
            <x14:dxf>
              <font>
                <color theme="9" tint="-0.24994659260841701"/>
              </font>
            </x14:dxf>
          </x14:cfRule>
          <x14:cfRule type="expression" priority="11129" id="{89ECF3A6-AB43-455A-B90C-AD856DA5DFDE}">
            <xm:f>IF(Text!$AS$38=2,TRUE,FALSE)</xm:f>
            <x14:dxf>
              <font>
                <b/>
                <i val="0"/>
                <strike/>
                <color theme="9" tint="-0.24994659260841701"/>
              </font>
            </x14:dxf>
          </x14:cfRule>
          <xm:sqref>H145</xm:sqref>
        </x14:conditionalFormatting>
        <x14:conditionalFormatting xmlns:xm="http://schemas.microsoft.com/office/excel/2006/main">
          <x14:cfRule type="expression" priority="11130" id="{4DA98CC9-2D9E-4360-A9D9-941A4842DB80}">
            <xm:f>IF(OR(Tool!$H$18="Klima-Check",Tool!$H$18="Check Climat",Tool!$H$18="Check Clima"),TRUE,FALSE)</xm:f>
            <x14:dxf>
              <fill>
                <patternFill>
                  <bgColor rgb="FFF0F0F0"/>
                </patternFill>
              </fill>
            </x14:dxf>
          </x14:cfRule>
          <x14:cfRule type="expression" priority="11132" id="{65E25A45-00B7-4FA6-9F3B-A79C5BF58CFC}">
            <xm:f>IF(Text!$AS$39=-1,TRUE,FALSE)</xm:f>
            <x14:dxf>
              <font>
                <color rgb="FFFF0000"/>
              </font>
            </x14:dxf>
          </x14:cfRule>
          <x14:cfRule type="expression" priority="11133" id="{088B6F69-ACDE-488E-A33B-FBE11591ACB1}">
            <xm:f>IF(Text!$AS$39=1,TRUE,FALSE)</xm:f>
            <x14:dxf>
              <font>
                <color theme="9" tint="-0.24994659260841701"/>
              </font>
            </x14:dxf>
          </x14:cfRule>
          <x14:cfRule type="expression" priority="11134" id="{5D13267D-DBF8-4873-98B3-7517E1474CD4}">
            <xm:f>IF(Text!$AS$39=2,TRUE,FALSE)</xm:f>
            <x14:dxf>
              <font>
                <b/>
                <i val="0"/>
                <strike/>
                <color theme="9" tint="-0.24994659260841701"/>
              </font>
            </x14:dxf>
          </x14:cfRule>
          <xm:sqref>H146</xm:sqref>
        </x14:conditionalFormatting>
        <x14:conditionalFormatting xmlns:xm="http://schemas.microsoft.com/office/excel/2006/main">
          <x14:cfRule type="expression" priority="11135" id="{634189CF-1573-4DAE-887A-A5D4191B11FB}">
            <xm:f>IF(OR(Tool!$H$18="Klima-Check",Tool!$H$18="Check Climat",Tool!$H$18="Check Clima"),TRUE,FALSE)</xm:f>
            <x14:dxf>
              <fill>
                <patternFill>
                  <bgColor rgb="FFF0F0F0"/>
                </patternFill>
              </fill>
            </x14:dxf>
          </x14:cfRule>
          <x14:cfRule type="expression" priority="11137" id="{075BF794-80E2-401E-B9E2-3C2998E0D8CC}">
            <xm:f>IF(Text!$AS$40=-1,TRUE,FALSE)</xm:f>
            <x14:dxf>
              <font>
                <color rgb="FFFF0000"/>
              </font>
            </x14:dxf>
          </x14:cfRule>
          <x14:cfRule type="expression" priority="11138" id="{D5332FC7-B045-4DDB-A764-297B6762B5A0}">
            <xm:f>IF(Text!$AS$40=1,TRUE,FALSE)</xm:f>
            <x14:dxf>
              <font>
                <color theme="9" tint="-0.24994659260841701"/>
              </font>
            </x14:dxf>
          </x14:cfRule>
          <x14:cfRule type="expression" priority="11139" id="{3C0E0949-1B5F-487E-8888-0026D6253FB9}">
            <xm:f>IF(Text!$AS$40=2,TRUE,FALSE)</xm:f>
            <x14:dxf>
              <font>
                <b/>
                <i val="0"/>
                <strike/>
                <color theme="9" tint="-0.24994659260841701"/>
              </font>
            </x14:dxf>
          </x14:cfRule>
          <xm:sqref>H147</xm:sqref>
        </x14:conditionalFormatting>
        <x14:conditionalFormatting xmlns:xm="http://schemas.microsoft.com/office/excel/2006/main">
          <x14:cfRule type="expression" priority="11140" id="{D6C5A71B-0A53-4BD0-BD52-A85C4FA8CD80}">
            <xm:f>IF(OR(Tool!$H$18="Klima-Check",Tool!$H$18="Check Climat",Tool!$H$18="Check Clima"),TRUE,FALSE)</xm:f>
            <x14:dxf>
              <fill>
                <patternFill>
                  <bgColor rgb="FFF0F0F0"/>
                </patternFill>
              </fill>
            </x14:dxf>
          </x14:cfRule>
          <x14:cfRule type="expression" priority="11142" id="{81A289AD-E0E9-4A9E-ADEF-2EF23D9F8BD3}">
            <xm:f>IF(Text!$AS$41=-1,TRUE,FALSE)</xm:f>
            <x14:dxf>
              <font>
                <color rgb="FFFF0000"/>
              </font>
            </x14:dxf>
          </x14:cfRule>
          <x14:cfRule type="expression" priority="11143" id="{F2C79B1F-1629-4237-9F85-F0144E562B22}">
            <xm:f>IF(Text!$AS$41=1,TRUE,FALSE)</xm:f>
            <x14:dxf>
              <font>
                <color theme="9" tint="-0.24994659260841701"/>
              </font>
            </x14:dxf>
          </x14:cfRule>
          <x14:cfRule type="expression" priority="11144" id="{A96D5A35-519D-4A0A-B14B-64A108F41F2C}">
            <xm:f>IF(Text!$AS$41=2,TRUE,FALSE)</xm:f>
            <x14:dxf>
              <font>
                <b/>
                <i val="0"/>
                <strike/>
                <color theme="9" tint="-0.24994659260841701"/>
              </font>
            </x14:dxf>
          </x14:cfRule>
          <xm:sqref>H149</xm:sqref>
        </x14:conditionalFormatting>
        <x14:conditionalFormatting xmlns:xm="http://schemas.microsoft.com/office/excel/2006/main">
          <x14:cfRule type="expression" priority="11145" id="{F8E911F1-F96A-4847-9CF6-71C945CA06F0}">
            <xm:f>IF(OR(Tool!$H$18="Klima-Check",Tool!$H$18="Check Climat",Tool!$H$18="Check Clima"),TRUE,FALSE)</xm:f>
            <x14:dxf>
              <fill>
                <patternFill>
                  <bgColor rgb="FFF0F0F0"/>
                </patternFill>
              </fill>
            </x14:dxf>
          </x14:cfRule>
          <x14:cfRule type="expression" priority="11147" id="{207ADAD8-9FA2-4EB5-BA09-36A582ADADC5}">
            <xm:f>IF(Text!$AS$42=-1,TRUE,FALSE)</xm:f>
            <x14:dxf>
              <font>
                <color rgb="FFFF0000"/>
              </font>
            </x14:dxf>
          </x14:cfRule>
          <x14:cfRule type="expression" priority="11148" id="{EF8DBC90-F4C7-4D7F-B069-7C65BB03DFCB}">
            <xm:f>IF(Text!$AS$42=1,TRUE,FALSE)</xm:f>
            <x14:dxf>
              <font>
                <color theme="9" tint="-0.24994659260841701"/>
              </font>
            </x14:dxf>
          </x14:cfRule>
          <x14:cfRule type="expression" priority="11149" id="{DC5B33F8-D35E-435B-A177-B0167F6F9440}">
            <xm:f>IF(Text!$AS$42=2,TRUE,FALSE)</xm:f>
            <x14:dxf>
              <font>
                <b/>
                <i val="0"/>
                <strike/>
                <color theme="9" tint="-0.24994659260841701"/>
              </font>
            </x14:dxf>
          </x14:cfRule>
          <xm:sqref>H150</xm:sqref>
        </x14:conditionalFormatting>
        <x14:conditionalFormatting xmlns:xm="http://schemas.microsoft.com/office/excel/2006/main">
          <x14:cfRule type="expression" priority="11150" id="{235167BD-0E17-4457-92D2-389D97401F54}">
            <xm:f>IF(OR(Tool!$H$18="Klima-Check",Tool!$H$18="Check Climat",Tool!$H$18="Check Clima"),TRUE,FALSE)</xm:f>
            <x14:dxf>
              <fill>
                <patternFill>
                  <bgColor rgb="FFF0F0F0"/>
                </patternFill>
              </fill>
            </x14:dxf>
          </x14:cfRule>
          <x14:cfRule type="expression" priority="11152" id="{E78E8731-714B-4A38-B9C2-DA6E3C9E756E}">
            <xm:f>IF(Text!$AS$43=-1,TRUE,FALSE)</xm:f>
            <x14:dxf>
              <font>
                <color rgb="FFFF0000"/>
              </font>
            </x14:dxf>
          </x14:cfRule>
          <x14:cfRule type="expression" priority="11153" id="{4187BB1A-3222-4652-BD89-CC4B1A6EE81E}">
            <xm:f>IF(Text!$AS$43=1,TRUE,FALSE)</xm:f>
            <x14:dxf>
              <font>
                <color theme="9" tint="-0.24994659260841701"/>
              </font>
            </x14:dxf>
          </x14:cfRule>
          <x14:cfRule type="expression" priority="11154" id="{5AB2EFF7-D9DF-44FE-A2E6-75A6AF8EA8C7}">
            <xm:f>IF(Text!$AS$43=2,TRUE,FALSE)</xm:f>
            <x14:dxf>
              <font>
                <b/>
                <i val="0"/>
                <strike/>
                <color theme="9" tint="-0.24994659260841701"/>
              </font>
            </x14:dxf>
          </x14:cfRule>
          <xm:sqref>H151</xm:sqref>
        </x14:conditionalFormatting>
        <x14:conditionalFormatting xmlns:xm="http://schemas.microsoft.com/office/excel/2006/main">
          <x14:cfRule type="expression" priority="11155" id="{B2393B56-83D7-467D-B9F5-56D22113A783}">
            <xm:f>IF(OR(Tool!$H$18="Klima-Check",Tool!$H$18="Check Climat",Tool!$H$18="Check Clima"),TRUE,FALSE)</xm:f>
            <x14:dxf>
              <fill>
                <patternFill>
                  <bgColor rgb="FFF0F0F0"/>
                </patternFill>
              </fill>
            </x14:dxf>
          </x14:cfRule>
          <x14:cfRule type="expression" priority="11157" id="{C1A3744C-CB5C-4DF7-979C-8EB92CDE07CA}">
            <xm:f>IF(Text!$AS$44=-1,TRUE,FALSE)</xm:f>
            <x14:dxf>
              <font>
                <color rgb="FFFF0000"/>
              </font>
            </x14:dxf>
          </x14:cfRule>
          <x14:cfRule type="expression" priority="11158" id="{95795D92-6494-40DB-938D-32DD94F4DABA}">
            <xm:f>IF(Text!$AS$44=1,TRUE,FALSE)</xm:f>
            <x14:dxf>
              <font>
                <color theme="9" tint="-0.24994659260841701"/>
              </font>
            </x14:dxf>
          </x14:cfRule>
          <x14:cfRule type="expression" priority="11159" id="{F0D9C459-5F59-434A-B6E5-6DA44589CCC5}">
            <xm:f>IF(Text!$AS$44=2,TRUE,FALSE)</xm:f>
            <x14:dxf>
              <font>
                <b/>
                <i val="0"/>
                <strike/>
                <color theme="9" tint="-0.24994659260841701"/>
              </font>
            </x14:dxf>
          </x14:cfRule>
          <xm:sqref>H153</xm:sqref>
        </x14:conditionalFormatting>
        <x14:conditionalFormatting xmlns:xm="http://schemas.microsoft.com/office/excel/2006/main">
          <x14:cfRule type="expression" priority="11160" id="{A56EC91C-A279-48C8-B486-9008EB6C9FA4}">
            <xm:f>IF(OR(Tool!$H$18="Klima-Check",Tool!$H$18="Check Climat",Tool!$H$18="Check Clima"),TRUE,FALSE)</xm:f>
            <x14:dxf>
              <fill>
                <patternFill>
                  <bgColor rgb="FFF0F0F0"/>
                </patternFill>
              </fill>
            </x14:dxf>
          </x14:cfRule>
          <x14:cfRule type="expression" priority="11162" id="{1AA30C70-6C46-46AC-BDC1-8A94D70B3AB4}">
            <xm:f>IF(Text!$AS$46=-1,TRUE,FALSE)</xm:f>
            <x14:dxf>
              <font>
                <color rgb="FFFF0000"/>
              </font>
            </x14:dxf>
          </x14:cfRule>
          <x14:cfRule type="expression" priority="11163" id="{B5FE7E05-4328-4E0B-AC3E-B0CA7E2B127A}">
            <xm:f>IF(Text!$AS$46=1,TRUE,FALSE)</xm:f>
            <x14:dxf>
              <font>
                <color theme="9" tint="-0.24994659260841701"/>
              </font>
            </x14:dxf>
          </x14:cfRule>
          <x14:cfRule type="expression" priority="11164" id="{827EB668-8341-459C-A268-65D5634E8A03}">
            <xm:f>IF(Text!$AS$46=2,TRUE,FALSE)</xm:f>
            <x14:dxf>
              <font>
                <b/>
                <i val="0"/>
                <strike/>
                <color theme="9" tint="-0.24994659260841701"/>
              </font>
            </x14:dxf>
          </x14:cfRule>
          <xm:sqref>H160</xm:sqref>
        </x14:conditionalFormatting>
        <x14:conditionalFormatting xmlns:xm="http://schemas.microsoft.com/office/excel/2006/main">
          <x14:cfRule type="expression" priority="11165" id="{47F4C2D1-2B46-4B07-9FD7-6874827D0CC0}">
            <xm:f>IF(OR(Tool!$H$18="Klima-Check",Tool!$H$18="Check Climat",Tool!$H$18="Check Clima"),TRUE,FALSE)</xm:f>
            <x14:dxf>
              <fill>
                <patternFill>
                  <bgColor rgb="FFF0F0F0"/>
                </patternFill>
              </fill>
            </x14:dxf>
          </x14:cfRule>
          <x14:cfRule type="expression" priority="11167" id="{C66930B6-C0EC-458D-A136-A2B2DB2C758F}">
            <xm:f>IF(Text!$AS$47=-1,TRUE,FALSE)</xm:f>
            <x14:dxf>
              <font>
                <color rgb="FFFF0000"/>
              </font>
            </x14:dxf>
          </x14:cfRule>
          <x14:cfRule type="expression" priority="11168" id="{FC95652E-597A-47B7-902E-61C362042D5C}">
            <xm:f>IF(Text!$AS$47=1,TRUE,FALSE)</xm:f>
            <x14:dxf>
              <font>
                <color theme="9" tint="-0.24994659260841701"/>
              </font>
            </x14:dxf>
          </x14:cfRule>
          <x14:cfRule type="expression" priority="11169" id="{97D1B413-76F9-41FD-8292-95A07FC6507D}">
            <xm:f>IF(Text!$AS$47=2,TRUE,FALSE)</xm:f>
            <x14:dxf>
              <font>
                <b/>
                <i val="0"/>
                <strike/>
                <color theme="9" tint="-0.24994659260841701"/>
              </font>
            </x14:dxf>
          </x14:cfRule>
          <xm:sqref>H161</xm:sqref>
        </x14:conditionalFormatting>
        <x14:conditionalFormatting xmlns:xm="http://schemas.microsoft.com/office/excel/2006/main">
          <x14:cfRule type="expression" priority="11170" id="{9DA3CA40-56B8-452E-A819-6CCFAF45EBF9}">
            <xm:f>IF(OR(Tool!$H$18="Klima-Check",Tool!$H$18="Check Climat",Tool!$H$18="Check Clima"),TRUE,FALSE)</xm:f>
            <x14:dxf>
              <fill>
                <patternFill>
                  <bgColor rgb="FFF0F0F0"/>
                </patternFill>
              </fill>
            </x14:dxf>
          </x14:cfRule>
          <x14:cfRule type="expression" priority="11172" id="{4C06DD40-2666-4421-9797-6D5846423F8C}">
            <xm:f>IF(Text!$AS$48=-1,TRUE,FALSE)</xm:f>
            <x14:dxf>
              <font>
                <color rgb="FFFF0000"/>
              </font>
            </x14:dxf>
          </x14:cfRule>
          <x14:cfRule type="expression" priority="11173" id="{09A22A62-A891-4799-8C71-0B6674BC8EF3}">
            <xm:f>IF(Text!$AS$48=1,TRUE,FALSE)</xm:f>
            <x14:dxf>
              <font>
                <color theme="9" tint="-0.24994659260841701"/>
              </font>
            </x14:dxf>
          </x14:cfRule>
          <x14:cfRule type="expression" priority="11174" id="{317E8009-8DA7-4850-92DB-869B906D3C67}">
            <xm:f>IF(Text!$AS$48=2,TRUE,FALSE)</xm:f>
            <x14:dxf>
              <font>
                <b/>
                <i val="0"/>
                <strike/>
                <color theme="9" tint="-0.24994659260841701"/>
              </font>
            </x14:dxf>
          </x14:cfRule>
          <xm:sqref>H162</xm:sqref>
        </x14:conditionalFormatting>
        <x14:conditionalFormatting xmlns:xm="http://schemas.microsoft.com/office/excel/2006/main">
          <x14:cfRule type="expression" priority="11175" id="{D3169C8C-52C9-4E66-8FE3-B1D27B7124FC}">
            <xm:f>IF(OR(Tool!$H$18="Klima-Check",Tool!$H$18="Check Climat",Tool!$H$18="Check Clima"),TRUE,FALSE)</xm:f>
            <x14:dxf>
              <fill>
                <patternFill>
                  <bgColor rgb="FFF0F0F0"/>
                </patternFill>
              </fill>
            </x14:dxf>
          </x14:cfRule>
          <x14:cfRule type="expression" priority="11177" id="{FEB9907B-A966-450F-AFE8-C04BDB4ECF73}">
            <xm:f>IF(Text!$AS$49=-1,TRUE,FALSE)</xm:f>
            <x14:dxf>
              <font>
                <color rgb="FFFF0000"/>
              </font>
            </x14:dxf>
          </x14:cfRule>
          <x14:cfRule type="expression" priority="11178" id="{ADCE7354-8203-4AD6-9865-B860E9BF5D6A}">
            <xm:f>IF(Text!$AS$49=1,TRUE,FALSE)</xm:f>
            <x14:dxf>
              <font>
                <color theme="9" tint="-0.24994659260841701"/>
              </font>
            </x14:dxf>
          </x14:cfRule>
          <x14:cfRule type="expression" priority="11179" id="{141512BD-CD10-407D-91F8-B6B0F1C2E246}">
            <xm:f>IF(Text!$AS$49=2,TRUE,FALSE)</xm:f>
            <x14:dxf>
              <font>
                <b/>
                <i val="0"/>
                <strike/>
                <color theme="9" tint="-0.24994659260841701"/>
              </font>
            </x14:dxf>
          </x14:cfRule>
          <xm:sqref>H164</xm:sqref>
        </x14:conditionalFormatting>
        <x14:conditionalFormatting xmlns:xm="http://schemas.microsoft.com/office/excel/2006/main">
          <x14:cfRule type="expression" priority="11180" id="{A2D020A7-606C-456B-9F44-980C926F2507}">
            <xm:f>IF(OR(Tool!$H$18="Klima-Check",Tool!$H$18="Check Climat",Tool!$H$18="Check Clima"),TRUE,FALSE)</xm:f>
            <x14:dxf>
              <fill>
                <patternFill>
                  <bgColor rgb="FFF0F0F0"/>
                </patternFill>
              </fill>
            </x14:dxf>
          </x14:cfRule>
          <x14:cfRule type="expression" priority="11182" id="{7582A7B1-474C-432A-9C6B-06D5B41F9EA8}">
            <xm:f>IF(Text!$AS$50=-1,TRUE,FALSE)</xm:f>
            <x14:dxf>
              <font>
                <color rgb="FFFF0000"/>
              </font>
            </x14:dxf>
          </x14:cfRule>
          <x14:cfRule type="expression" priority="11183" id="{6E0D8C06-C021-4A96-AE57-DF9623507FBF}">
            <xm:f>IF(Text!$AS$50=1,TRUE,FALSE)</xm:f>
            <x14:dxf>
              <font>
                <color theme="9" tint="-0.24994659260841701"/>
              </font>
            </x14:dxf>
          </x14:cfRule>
          <x14:cfRule type="expression" priority="11184" id="{1680F1D6-B270-461C-AE0F-44DF7F360B6C}">
            <xm:f>IF(Text!$AS$50=2,TRUE,FALSE)</xm:f>
            <x14:dxf>
              <font>
                <b/>
                <i val="0"/>
                <strike/>
                <color theme="9" tint="-0.24994659260841701"/>
              </font>
            </x14:dxf>
          </x14:cfRule>
          <xm:sqref>H165</xm:sqref>
        </x14:conditionalFormatting>
        <x14:conditionalFormatting xmlns:xm="http://schemas.microsoft.com/office/excel/2006/main">
          <x14:cfRule type="expression" priority="11185" id="{3D24CB7C-CBE2-4FF9-8276-8E66B5C14FF6}">
            <xm:f>IF(OR(Tool!$H$18="Klima-Check",Tool!$H$18="Check Climat",Tool!$H$18="Check Clima"),TRUE,FALSE)</xm:f>
            <x14:dxf>
              <fill>
                <patternFill>
                  <bgColor rgb="FFF0F0F0"/>
                </patternFill>
              </fill>
            </x14:dxf>
          </x14:cfRule>
          <x14:cfRule type="expression" priority="11187" id="{6CCF405A-82F0-47DC-BD5B-AC4CFB8F811D}">
            <xm:f>IF(Text!$AS$51=-1,TRUE,FALSE)</xm:f>
            <x14:dxf>
              <font>
                <color rgb="FFFF0000"/>
              </font>
            </x14:dxf>
          </x14:cfRule>
          <x14:cfRule type="expression" priority="11188" id="{F362DD87-1E80-4382-83B7-E73CB0FE34EC}">
            <xm:f>IF(Text!$AS$51=1,TRUE,FALSE)</xm:f>
            <x14:dxf>
              <font>
                <color theme="9" tint="-0.24994659260841701"/>
              </font>
            </x14:dxf>
          </x14:cfRule>
          <x14:cfRule type="expression" priority="11189" id="{82C0D058-F14E-434D-9F45-C9F570162DD4}">
            <xm:f>IF(Text!$AS$51=2,TRUE,FALSE)</xm:f>
            <x14:dxf>
              <font>
                <b/>
                <i val="0"/>
                <strike/>
                <color theme="9" tint="-0.24994659260841701"/>
              </font>
            </x14:dxf>
          </x14:cfRule>
          <xm:sqref>H168</xm:sqref>
        </x14:conditionalFormatting>
        <x14:conditionalFormatting xmlns:xm="http://schemas.microsoft.com/office/excel/2006/main">
          <x14:cfRule type="expression" priority="11190" id="{A78B815B-CD70-4514-BB64-FFA4AA88A9E2}">
            <xm:f>IF(OR(Tool!$H$18="Klima-Check",Tool!$H$18="Check Climat",Tool!$H$18="Check Clima"),TRUE,FALSE)</xm:f>
            <x14:dxf>
              <fill>
                <patternFill>
                  <bgColor rgb="FFF0F0F0"/>
                </patternFill>
              </fill>
            </x14:dxf>
          </x14:cfRule>
          <x14:cfRule type="expression" priority="11192" id="{49BF4D50-198C-48FF-9A9C-A1EEC9E92EF8}">
            <xm:f>IF(Text!$AS$52=-1,TRUE,FALSE)</xm:f>
            <x14:dxf>
              <font>
                <color rgb="FFFF0000"/>
              </font>
            </x14:dxf>
          </x14:cfRule>
          <x14:cfRule type="expression" priority="11193" id="{526FC9F1-AF65-414A-A908-CDE14B31A4F5}">
            <xm:f>IF(Text!$AS$52=1,TRUE,FALSE)</xm:f>
            <x14:dxf>
              <font>
                <color theme="9" tint="-0.24994659260841701"/>
              </font>
            </x14:dxf>
          </x14:cfRule>
          <x14:cfRule type="expression" priority="11194" id="{33A41AF3-182E-41F6-B28B-81A8FB09990A}">
            <xm:f>IF(Text!$AS$52=2,TRUE,FALSE)</xm:f>
            <x14:dxf>
              <font>
                <b/>
                <i val="0"/>
                <strike/>
                <color theme="9" tint="-0.24994659260841701"/>
              </font>
            </x14:dxf>
          </x14:cfRule>
          <xm:sqref>H169</xm:sqref>
        </x14:conditionalFormatting>
        <x14:conditionalFormatting xmlns:xm="http://schemas.microsoft.com/office/excel/2006/main">
          <x14:cfRule type="expression" priority="11195" id="{4E945D44-1B2F-4D21-9464-6A8F3B4C83C5}">
            <xm:f>IF(OR(Tool!$H$18="Klima-Check",Tool!$H$18="Check Climat",Tool!$H$18="Check Clima"),TRUE,FALSE)</xm:f>
            <x14:dxf>
              <fill>
                <patternFill>
                  <bgColor rgb="FFF0F0F0"/>
                </patternFill>
              </fill>
            </x14:dxf>
          </x14:cfRule>
          <x14:cfRule type="expression" priority="11197" id="{01BB4E0F-5B12-4BA0-876C-6ED00A641302}">
            <xm:f>IF(Text!$AS$53=-1,TRUE,FALSE)</xm:f>
            <x14:dxf>
              <font>
                <color rgb="FFFF0000"/>
              </font>
            </x14:dxf>
          </x14:cfRule>
          <x14:cfRule type="expression" priority="11198" id="{50925C9C-36BE-4C07-AF98-34EF0144F737}">
            <xm:f>IF(Text!$AS$53=1,TRUE,FALSE)</xm:f>
            <x14:dxf>
              <font>
                <color theme="9" tint="-0.24994659260841701"/>
              </font>
            </x14:dxf>
          </x14:cfRule>
          <x14:cfRule type="expression" priority="11199" id="{06B5AC6B-5C18-49F2-ABDD-3460A16F2F47}">
            <xm:f>IF(Text!$AS$53=2,TRUE,FALSE)</xm:f>
            <x14:dxf>
              <font>
                <b/>
                <i val="0"/>
                <strike/>
                <color theme="9" tint="-0.24994659260841701"/>
              </font>
            </x14:dxf>
          </x14:cfRule>
          <xm:sqref>H170</xm:sqref>
        </x14:conditionalFormatting>
        <x14:conditionalFormatting xmlns:xm="http://schemas.microsoft.com/office/excel/2006/main">
          <x14:cfRule type="expression" priority="11200" id="{99F0127F-592A-4C98-A51F-4CDB00B6C6D2}">
            <xm:f>IF(OR(Tool!$H$18="Klima-Check",Tool!$H$18="Check Climat",Tool!$H$18="Check Clima"),TRUE,FALSE)</xm:f>
            <x14:dxf>
              <fill>
                <patternFill>
                  <bgColor rgb="FFF0F0F0"/>
                </patternFill>
              </fill>
            </x14:dxf>
          </x14:cfRule>
          <x14:cfRule type="expression" priority="11202" id="{D2816F35-6A51-4049-BDA7-58E4EADDDBDD}">
            <xm:f>IF(Text!$AS$54=-1,TRUE,FALSE)</xm:f>
            <x14:dxf>
              <font>
                <color rgb="FFFF0000"/>
              </font>
            </x14:dxf>
          </x14:cfRule>
          <x14:cfRule type="expression" priority="11203" id="{5965012A-5CB9-49E6-99B5-0B961F2EC851}">
            <xm:f>IF(Text!$AS$54=1,TRUE,FALSE)</xm:f>
            <x14:dxf>
              <font>
                <color theme="9" tint="-0.24994659260841701"/>
              </font>
            </x14:dxf>
          </x14:cfRule>
          <x14:cfRule type="expression" priority="11204" id="{7F85E10E-1578-4007-A90B-C3759F45DFE4}">
            <xm:f>IF(Text!$AS$54=2,TRUE,FALSE)</xm:f>
            <x14:dxf>
              <font>
                <b/>
                <i val="0"/>
                <strike/>
                <color theme="9" tint="-0.24994659260841701"/>
              </font>
            </x14:dxf>
          </x14:cfRule>
          <xm:sqref>H171</xm:sqref>
        </x14:conditionalFormatting>
        <x14:conditionalFormatting xmlns:xm="http://schemas.microsoft.com/office/excel/2006/main">
          <x14:cfRule type="expression" priority="11205" id="{F607D5EA-990D-4782-9BAA-65D6EA38FA0E}">
            <xm:f>IF(OR(Tool!$H$18="Klima-Check",Tool!$H$18="Check Climat",Tool!$H$18="Check Clima"),TRUE,FALSE)</xm:f>
            <x14:dxf>
              <fill>
                <patternFill>
                  <bgColor rgb="FFF0F0F0"/>
                </patternFill>
              </fill>
            </x14:dxf>
          </x14:cfRule>
          <x14:cfRule type="expression" priority="11207" id="{9849A636-6965-4627-A1E8-9569DB5BA983}">
            <xm:f>IF(Text!$AS$55=-1,TRUE,FALSE)</xm:f>
            <x14:dxf>
              <font>
                <color rgb="FFFF0000"/>
              </font>
            </x14:dxf>
          </x14:cfRule>
          <x14:cfRule type="expression" priority="11208" id="{42B4395D-0B10-456A-B5D3-97DC9427260B}">
            <xm:f>IF(Text!$AS$55=1,TRUE,FALSE)</xm:f>
            <x14:dxf>
              <font>
                <color theme="9" tint="-0.24994659260841701"/>
              </font>
            </x14:dxf>
          </x14:cfRule>
          <x14:cfRule type="expression" priority="11209" id="{51D6F8E1-2E27-4CA3-BCB5-6A582E9FCA32}">
            <xm:f>IF(Text!$AS$55=2,TRUE,FALSE)</xm:f>
            <x14:dxf>
              <font>
                <b/>
                <i val="0"/>
                <strike/>
                <color theme="9" tint="-0.24994659260841701"/>
              </font>
            </x14:dxf>
          </x14:cfRule>
          <xm:sqref>H172</xm:sqref>
        </x14:conditionalFormatting>
        <x14:conditionalFormatting xmlns:xm="http://schemas.microsoft.com/office/excel/2006/main">
          <x14:cfRule type="expression" priority="11210" id="{B215EA0C-ED63-436B-9DE2-C2A3A8184719}">
            <xm:f>IF(OR(Tool!$H$18="Klima-Check",Tool!$H$18="Check Climat",Tool!$H$18="Check Clima"),TRUE,FALSE)</xm:f>
            <x14:dxf>
              <fill>
                <patternFill>
                  <bgColor rgb="FFF0F0F0"/>
                </patternFill>
              </fill>
            </x14:dxf>
          </x14:cfRule>
          <x14:cfRule type="expression" priority="11212" id="{9558E51E-8D42-4EB6-A2FF-4B40D65138E7}">
            <xm:f>IF(Text!$AS$56=-1,TRUE,FALSE)</xm:f>
            <x14:dxf>
              <font>
                <color rgb="FFFF0000"/>
              </font>
            </x14:dxf>
          </x14:cfRule>
          <x14:cfRule type="expression" priority="11213" id="{10BD517E-1064-465D-99BE-FDD4122191B6}">
            <xm:f>IF(Text!$AS$56=1,TRUE,FALSE)</xm:f>
            <x14:dxf>
              <font>
                <color theme="9" tint="-0.24994659260841701"/>
              </font>
            </x14:dxf>
          </x14:cfRule>
          <x14:cfRule type="expression" priority="11214" id="{CED5D2A4-0BD2-4AB5-B86F-0BBA92CA5F04}">
            <xm:f>IF(Text!$AS$56=2,TRUE,FALSE)</xm:f>
            <x14:dxf>
              <font>
                <b/>
                <i val="0"/>
                <strike/>
                <color theme="9" tint="-0.24994659260841701"/>
              </font>
            </x14:dxf>
          </x14:cfRule>
          <xm:sqref>H173</xm:sqref>
        </x14:conditionalFormatting>
        <x14:conditionalFormatting xmlns:xm="http://schemas.microsoft.com/office/excel/2006/main">
          <x14:cfRule type="expression" priority="11215" id="{5751674D-DD9A-4222-AB3C-659B43014E02}">
            <xm:f>IF(OR(Tool!$H$18="Klima-Check",Tool!$H$18="Check Climat",Tool!$H$18="Check Clima"),TRUE,FALSE)</xm:f>
            <x14:dxf>
              <fill>
                <patternFill>
                  <bgColor rgb="FFF0F0F0"/>
                </patternFill>
              </fill>
            </x14:dxf>
          </x14:cfRule>
          <x14:cfRule type="expression" priority="11217" id="{4E3E1D97-A81B-4941-9358-24BC3F8DF8A8}">
            <xm:f>IF(Text!$AS$57=-1,TRUE,FALSE)</xm:f>
            <x14:dxf>
              <font>
                <color rgb="FFFF0000"/>
              </font>
            </x14:dxf>
          </x14:cfRule>
          <x14:cfRule type="expression" priority="11218" id="{ADB673AB-71C3-463A-9F0E-80794CA1EE6A}">
            <xm:f>IF(Text!$AS$57=1,TRUE,FALSE)</xm:f>
            <x14:dxf>
              <font>
                <color theme="9" tint="-0.24994659260841701"/>
              </font>
            </x14:dxf>
          </x14:cfRule>
          <x14:cfRule type="expression" priority="11219" id="{593E77D7-80BD-4CF1-B130-81AFD57F98BB}">
            <xm:f>IF(Text!$AS$57=2,TRUE,FALSE)</xm:f>
            <x14:dxf>
              <font>
                <b/>
                <i val="0"/>
                <strike/>
                <color theme="9" tint="-0.24994659260841701"/>
              </font>
            </x14:dxf>
          </x14:cfRule>
          <xm:sqref>H175</xm:sqref>
        </x14:conditionalFormatting>
        <x14:conditionalFormatting xmlns:xm="http://schemas.microsoft.com/office/excel/2006/main">
          <x14:cfRule type="expression" priority="11220" id="{1B14DCD6-0DF5-4144-919E-DC91E6E9A9FA}">
            <xm:f>IF(OR(Tool!$H$18="Klima-Check",Tool!$H$18="Check Climat",Tool!$H$18="Check Clima"),TRUE,FALSE)</xm:f>
            <x14:dxf>
              <fill>
                <patternFill>
                  <bgColor rgb="FFF0F0F0"/>
                </patternFill>
              </fill>
            </x14:dxf>
          </x14:cfRule>
          <x14:cfRule type="expression" priority="11222" id="{21560D54-0667-43BE-A26A-CE843482A936}">
            <xm:f>IF(Text!$AS$58=-1,TRUE,FALSE)</xm:f>
            <x14:dxf>
              <font>
                <color rgb="FFFF0000"/>
              </font>
            </x14:dxf>
          </x14:cfRule>
          <x14:cfRule type="expression" priority="11223" id="{DF8FDE27-C5C8-40FC-B1BF-5DF4F4D527B5}">
            <xm:f>IF(Text!$AS$58=1,TRUE,FALSE)</xm:f>
            <x14:dxf>
              <font>
                <color theme="9" tint="-0.24994659260841701"/>
              </font>
            </x14:dxf>
          </x14:cfRule>
          <x14:cfRule type="expression" priority="11224" id="{CE20446D-520D-48A4-830A-C0AA01214FCD}">
            <xm:f>IF(Text!$AS$58=2,TRUE,FALSE)</xm:f>
            <x14:dxf>
              <font>
                <b/>
                <i val="0"/>
                <strike/>
                <color theme="9" tint="-0.24994659260841701"/>
              </font>
            </x14:dxf>
          </x14:cfRule>
          <xm:sqref>H176</xm:sqref>
        </x14:conditionalFormatting>
        <x14:conditionalFormatting xmlns:xm="http://schemas.microsoft.com/office/excel/2006/main">
          <x14:cfRule type="expression" priority="11225" id="{A0BBAE4B-6D6A-4E8E-80F1-CC48A2EF2E85}">
            <xm:f>IF(OR(Tool!$H$18="Klima-Check",Tool!$H$18="Check Climat",Tool!$H$18="Check Clima"),TRUE,FALSE)</xm:f>
            <x14:dxf>
              <fill>
                <patternFill>
                  <bgColor rgb="FFF0F0F0"/>
                </patternFill>
              </fill>
            </x14:dxf>
          </x14:cfRule>
          <x14:cfRule type="expression" priority="11227" id="{7A7255B2-7172-46AB-9BA8-BB3E6552A0D4}">
            <xm:f>IF(Text!$AS$59=-1,TRUE,FALSE)</xm:f>
            <x14:dxf>
              <font>
                <color rgb="FFFF0000"/>
              </font>
            </x14:dxf>
          </x14:cfRule>
          <x14:cfRule type="expression" priority="11228" id="{2FB20B88-0D71-4653-9D67-4DC5BB202CF3}">
            <xm:f>IF(Text!$AS$59=1,TRUE,FALSE)</xm:f>
            <x14:dxf>
              <font>
                <color theme="9" tint="-0.24994659260841701"/>
              </font>
            </x14:dxf>
          </x14:cfRule>
          <x14:cfRule type="expression" priority="11229" id="{82117353-1B09-460F-9AE0-43AD4500C88F}">
            <xm:f>IF(Text!$AS$59=2,TRUE,FALSE)</xm:f>
            <x14:dxf>
              <font>
                <b/>
                <i val="0"/>
                <strike/>
                <color theme="9" tint="-0.24994659260841701"/>
              </font>
            </x14:dxf>
          </x14:cfRule>
          <xm:sqref>H177</xm:sqref>
        </x14:conditionalFormatting>
        <x14:conditionalFormatting xmlns:xm="http://schemas.microsoft.com/office/excel/2006/main">
          <x14:cfRule type="expression" priority="11231" id="{C9235E18-2F35-4887-95E9-514E3E682D18}">
            <xm:f>IF(Tool!$H$18="Pre-Check",TRUE,FALSE)</xm:f>
            <x14:dxf>
              <font>
                <color theme="0" tint="-0.34998626667073579"/>
              </font>
            </x14:dxf>
          </x14:cfRule>
          <xm:sqref>U113:AG115 U24</xm:sqref>
        </x14:conditionalFormatting>
        <x14:conditionalFormatting xmlns:xm="http://schemas.microsoft.com/office/excel/2006/main">
          <x14:cfRule type="expression" priority="11083" id="{F7781534-598C-4568-99B9-B0E5EA3172F4}">
            <xm:f>IF(Text!$AV$49=-2,TRUE,FALSE)</xm:f>
            <x14:dxf>
              <font>
                <b/>
                <i val="0"/>
                <color rgb="FFFF0000"/>
              </font>
              <border>
                <left style="thin">
                  <color rgb="FFFF0000"/>
                </left>
                <right style="thin">
                  <color rgb="FFFF0000"/>
                </right>
                <top style="thin">
                  <color rgb="FFFF0000"/>
                </top>
                <bottom style="thin">
                  <color rgb="FFFF0000"/>
                </bottom>
              </border>
            </x14:dxf>
          </x14:cfRule>
          <xm:sqref>U176:Y176</xm:sqref>
        </x14:conditionalFormatting>
        <x14:conditionalFormatting xmlns:xm="http://schemas.microsoft.com/office/excel/2006/main">
          <x14:cfRule type="expression" priority="11078" id="{E2BAC877-9144-41B2-BDC0-F01BE1D70C3A}">
            <xm:f>IF(Text!$AV$48=-2,TRUE,FALSE)</xm:f>
            <x14:dxf>
              <font>
                <b/>
                <i val="0"/>
                <color rgb="FFFF0000"/>
              </font>
              <border>
                <left style="thin">
                  <color rgb="FFFF0000"/>
                </left>
                <right style="thin">
                  <color rgb="FFFF0000"/>
                </right>
                <top style="thin">
                  <color rgb="FFFF0000"/>
                </top>
                <bottom style="thin">
                  <color rgb="FFFF0000"/>
                </bottom>
              </border>
            </x14:dxf>
          </x14:cfRule>
          <xm:sqref>U171:Y171</xm:sqref>
        </x14:conditionalFormatting>
        <x14:conditionalFormatting xmlns:xm="http://schemas.microsoft.com/office/excel/2006/main">
          <x14:cfRule type="expression" priority="11042" id="{CC5ED933-D1C2-4AE1-B922-1C874F5E2D70}">
            <xm:f>IF(Tool!$H$18="Pre-Check",TRUE,FALSE)</xm:f>
            <x14:dxf>
              <fill>
                <patternFill>
                  <bgColor rgb="FFF0F0F0"/>
                </patternFill>
              </fill>
            </x14:dxf>
          </x14:cfRule>
          <x14:cfRule type="expression" priority="11044" id="{BBB3FC94-822C-477A-A928-A50D7FB5E2AC}">
            <xm:f>IF(Text!$AV$46=-1,TRUE,FALSE)</xm:f>
            <x14:dxf>
              <font>
                <color rgb="FFFF0000"/>
              </font>
            </x14:dxf>
          </x14:cfRule>
          <x14:cfRule type="expression" priority="11045" id="{625A383C-A8B2-4FAE-A4D6-4BF15CB0C16A}">
            <xm:f>IF(Text!$AV$46=1,TRUE,FALSE)</xm:f>
            <x14:dxf>
              <font>
                <color theme="9" tint="-0.24994659260841701"/>
              </font>
            </x14:dxf>
          </x14:cfRule>
          <x14:cfRule type="expression" priority="11046" id="{D7BD411E-F603-4D58-AFEA-E3F7057512CD}">
            <xm:f>IF(Text!$AV$46=2,TRUE,FALSE)</xm:f>
            <x14:dxf>
              <font>
                <b/>
                <i val="0"/>
                <strike/>
                <color theme="9" tint="-0.24994659260841701"/>
              </font>
            </x14:dxf>
          </x14:cfRule>
          <xm:sqref>U161</xm:sqref>
        </x14:conditionalFormatting>
        <x14:conditionalFormatting xmlns:xm="http://schemas.microsoft.com/office/excel/2006/main">
          <x14:cfRule type="expression" priority="11043" id="{56B6422E-8337-412F-8053-04DEA23CBBBE}">
            <xm:f>IF(Text!$AV$46=-2,TRUE,FALSE)</xm:f>
            <x14:dxf>
              <font>
                <b/>
                <i val="0"/>
                <color rgb="FFFF0000"/>
              </font>
              <border>
                <left style="thin">
                  <color rgb="FFFF0000"/>
                </left>
                <right style="thin">
                  <color rgb="FFFF0000"/>
                </right>
                <top style="thin">
                  <color rgb="FFFF0000"/>
                </top>
                <bottom style="thin">
                  <color rgb="FFFF0000"/>
                </bottom>
              </border>
            </x14:dxf>
          </x14:cfRule>
          <xm:sqref>U161:Y161</xm:sqref>
        </x14:conditionalFormatting>
        <x14:conditionalFormatting xmlns:xm="http://schemas.microsoft.com/office/excel/2006/main">
          <x14:cfRule type="expression" priority="11022" id="{8EC67609-8148-4969-953C-578E1FCDD838}">
            <xm:f>IF(Tool!$H$18="Pre-Check",TRUE,FALSE)</xm:f>
            <x14:dxf>
              <fill>
                <patternFill>
                  <bgColor rgb="FFF0F0F0"/>
                </patternFill>
              </fill>
            </x14:dxf>
          </x14:cfRule>
          <x14:cfRule type="expression" priority="11024" id="{403DF4B2-BDAF-4A3C-B40A-90C3201CA6D4}">
            <xm:f>IF(Text!$AV$40=-1,TRUE,FALSE)</xm:f>
            <x14:dxf>
              <font>
                <color rgb="FFFF0000"/>
              </font>
            </x14:dxf>
          </x14:cfRule>
          <x14:cfRule type="expression" priority="11025" id="{CE38060B-9BA0-4A1A-90C3-7ADA492C312D}">
            <xm:f>IF(Text!$AV$40=1,TRUE,FALSE)</xm:f>
            <x14:dxf>
              <font>
                <color theme="9" tint="-0.24994659260841701"/>
              </font>
            </x14:dxf>
          </x14:cfRule>
          <x14:cfRule type="expression" priority="11026" id="{357FBA9D-9C50-4634-A857-3CDDB5A7C393}">
            <xm:f>IF(Text!$AV$40=2,TRUE,FALSE)</xm:f>
            <x14:dxf>
              <font>
                <b/>
                <i val="0"/>
                <strike/>
                <color theme="9" tint="-0.24994659260841701"/>
              </font>
            </x14:dxf>
          </x14:cfRule>
          <xm:sqref>U151</xm:sqref>
        </x14:conditionalFormatting>
        <x14:conditionalFormatting xmlns:xm="http://schemas.microsoft.com/office/excel/2006/main">
          <x14:cfRule type="expression" priority="11023" id="{1D4C459E-D182-448F-9030-80B98258B931}">
            <xm:f>IF(Text!$AV$40=-2,TRUE,FALSE)</xm:f>
            <x14:dxf>
              <font>
                <b/>
                <i val="0"/>
                <color rgb="FFFF0000"/>
              </font>
              <border>
                <left style="thin">
                  <color rgb="FFFF0000"/>
                </left>
                <right style="thin">
                  <color rgb="FFFF0000"/>
                </right>
                <top style="thin">
                  <color rgb="FFFF0000"/>
                </top>
                <bottom style="thin">
                  <color rgb="FFFF0000"/>
                </bottom>
              </border>
            </x14:dxf>
          </x14:cfRule>
          <xm:sqref>U151:Y151</xm:sqref>
        </x14:conditionalFormatting>
        <x14:conditionalFormatting xmlns:xm="http://schemas.microsoft.com/office/excel/2006/main">
          <x14:cfRule type="expression" priority="752" id="{D97EC18E-7987-4DB9-9ACC-4724583E4165}">
            <xm:f>IF(Tool!$H$18="Pre-Check",TRUE,FALSE)</xm:f>
            <x14:dxf>
              <fill>
                <patternFill>
                  <bgColor rgb="FFF0F0F0"/>
                </patternFill>
              </fill>
            </x14:dxf>
          </x14:cfRule>
          <x14:cfRule type="expression" priority="754" id="{21B7046D-2E10-410D-A2A8-14ACD8BEC0AF}">
            <xm:f>IF(Text!$AV$39=-1,TRUE,FALSE)</xm:f>
            <x14:dxf>
              <font>
                <color rgb="FFFF0000"/>
              </font>
            </x14:dxf>
          </x14:cfRule>
          <x14:cfRule type="expression" priority="755" id="{57970E1E-F17D-4C68-AA1E-FDFE19F84C7D}">
            <xm:f>IF(Text!$AV$39=1,TRUE,FALSE)</xm:f>
            <x14:dxf>
              <font>
                <color theme="9" tint="-0.24994659260841701"/>
              </font>
            </x14:dxf>
          </x14:cfRule>
          <x14:cfRule type="expression" priority="756" id="{3463F2F1-066D-40EA-816D-EF8C1A1F093F}">
            <xm:f>IF(Text!$AV$39=2,TRUE,FALSE)</xm:f>
            <x14:dxf>
              <font>
                <b/>
                <i val="0"/>
                <strike/>
                <color theme="9" tint="-0.24994659260841701"/>
              </font>
            </x14:dxf>
          </x14:cfRule>
          <xm:sqref>U149</xm:sqref>
        </x14:conditionalFormatting>
        <x14:conditionalFormatting xmlns:xm="http://schemas.microsoft.com/office/excel/2006/main">
          <x14:cfRule type="expression" priority="753" id="{EDD8CA6E-2C19-40FB-AEC0-94F9DA81B567}">
            <xm:f>IF(Text!$AV$39=-2,TRUE,FALSE)</xm:f>
            <x14:dxf>
              <font>
                <b/>
                <i val="0"/>
                <color rgb="FFFF0000"/>
              </font>
              <border>
                <left style="thin">
                  <color rgb="FFFF0000"/>
                </left>
                <right style="thin">
                  <color rgb="FFFF0000"/>
                </right>
                <top style="thin">
                  <color rgb="FFFF0000"/>
                </top>
                <bottom style="thin">
                  <color rgb="FFFF0000"/>
                </bottom>
              </border>
            </x14:dxf>
          </x14:cfRule>
          <xm:sqref>U149:Y149</xm:sqref>
        </x14:conditionalFormatting>
        <x14:conditionalFormatting xmlns:xm="http://schemas.microsoft.com/office/excel/2006/main">
          <x14:cfRule type="expression" priority="11018" id="{924F7AD0-FF56-4101-A0F1-2D436A5F2092}">
            <xm:f>IF(Text!$AV$38=-2,TRUE,FALSE)</xm:f>
            <x14:dxf>
              <font>
                <b/>
                <i val="0"/>
                <color rgb="FFFF0000"/>
              </font>
              <border>
                <left style="thin">
                  <color rgb="FFFF0000"/>
                </left>
                <right style="thin">
                  <color rgb="FFFF0000"/>
                </right>
                <top style="thin">
                  <color rgb="FFFF0000"/>
                </top>
                <bottom style="thin">
                  <color rgb="FFFF0000"/>
                </bottom>
              </border>
            </x14:dxf>
          </x14:cfRule>
          <xm:sqref>U145:Y145</xm:sqref>
        </x14:conditionalFormatting>
        <x14:conditionalFormatting xmlns:xm="http://schemas.microsoft.com/office/excel/2006/main">
          <x14:cfRule type="expression" priority="1647" id="{183F28E6-73EF-4354-88C9-3A1B8512C9FB}">
            <xm:f>IF(Text!$AV$32=-2,TRUE,FALSE)</xm:f>
            <x14:dxf>
              <font>
                <b/>
                <i val="0"/>
                <color rgb="FFFF0000"/>
              </font>
              <border>
                <left style="thin">
                  <color rgb="FFFF0000"/>
                </left>
                <right style="thin">
                  <color rgb="FFFF0000"/>
                </right>
                <top style="thin">
                  <color rgb="FFFF0000"/>
                </top>
                <bottom style="thin">
                  <color rgb="FFFF0000"/>
                </bottom>
              </border>
            </x14:dxf>
          </x14:cfRule>
          <xm:sqref>U138:Y138</xm:sqref>
        </x14:conditionalFormatting>
        <x14:conditionalFormatting xmlns:xm="http://schemas.microsoft.com/office/excel/2006/main">
          <x14:cfRule type="expression" priority="1652" id="{82D45FBF-E80B-426E-BCE1-21DB1AC97835}">
            <xm:f>IF(Text!$AV$31=-2,TRUE,FALSE)</xm:f>
            <x14:dxf>
              <font>
                <b/>
                <i val="0"/>
                <color rgb="FFFF0000"/>
              </font>
              <border>
                <left style="thin">
                  <color rgb="FFFF0000"/>
                </left>
                <right style="thin">
                  <color rgb="FFFF0000"/>
                </right>
                <top style="thin">
                  <color rgb="FFFF0000"/>
                </top>
                <bottom style="thin">
                  <color rgb="FFFF0000"/>
                </bottom>
              </border>
            </x14:dxf>
          </x14:cfRule>
          <xm:sqref>U136:Y136</xm:sqref>
        </x14:conditionalFormatting>
        <x14:conditionalFormatting xmlns:xm="http://schemas.microsoft.com/office/excel/2006/main">
          <x14:cfRule type="expression" priority="1657" id="{9999C93E-4590-4E6F-89DA-C94F4B85FBEC}">
            <xm:f>IF(Text!$AV$30=-2,TRUE,FALSE)</xm:f>
            <x14:dxf>
              <font>
                <b/>
                <i val="0"/>
                <color rgb="FFFF0000"/>
              </font>
              <border>
                <left style="thin">
                  <color rgb="FFFF0000"/>
                </left>
                <right style="thin">
                  <color rgb="FFFF0000"/>
                </right>
                <top style="thin">
                  <color rgb="FFFF0000"/>
                </top>
                <bottom style="thin">
                  <color rgb="FFFF0000"/>
                </bottom>
              </border>
            </x14:dxf>
          </x14:cfRule>
          <xm:sqref>U129:Y129</xm:sqref>
        </x14:conditionalFormatting>
        <x14:conditionalFormatting xmlns:xm="http://schemas.microsoft.com/office/excel/2006/main">
          <x14:cfRule type="expression" priority="1662" id="{E0A8F0C4-874A-4809-8449-F5E3B879F715}">
            <xm:f>IF(Text!$AV$29=-2,TRUE,FALSE)</xm:f>
            <x14:dxf>
              <font>
                <b/>
                <i val="0"/>
                <color rgb="FFFF0000"/>
              </font>
              <border>
                <left style="thin">
                  <color rgb="FFFF0000"/>
                </left>
                <right style="thin">
                  <color rgb="FFFF0000"/>
                </right>
                <top style="thin">
                  <color rgb="FFFF0000"/>
                </top>
                <bottom style="thin">
                  <color rgb="FFFF0000"/>
                </bottom>
              </border>
            </x14:dxf>
          </x14:cfRule>
          <xm:sqref>U126:Y126</xm:sqref>
        </x14:conditionalFormatting>
        <x14:conditionalFormatting xmlns:xm="http://schemas.microsoft.com/office/excel/2006/main">
          <x14:cfRule type="expression" priority="1667" id="{BA4B57B0-BD7A-4060-A707-9C3094453AC7}">
            <xm:f>IF(Text!$AV$28=-2,TRUE,FALSE)</xm:f>
            <x14:dxf>
              <font>
                <b/>
                <i val="0"/>
                <color rgb="FFFF0000"/>
              </font>
              <border>
                <left style="thin">
                  <color rgb="FFFF0000"/>
                </left>
                <right style="thin">
                  <color rgb="FFFF0000"/>
                </right>
                <top style="thin">
                  <color rgb="FFFF0000"/>
                </top>
                <bottom style="thin">
                  <color rgb="FFFF0000"/>
                </bottom>
              </border>
            </x14:dxf>
          </x14:cfRule>
          <xm:sqref>U125:Y125</xm:sqref>
        </x14:conditionalFormatting>
        <x14:conditionalFormatting xmlns:xm="http://schemas.microsoft.com/office/excel/2006/main">
          <x14:cfRule type="expression" priority="1697" id="{68B7A5B2-1AED-4F0B-B4F6-FD850A09F2E8}">
            <xm:f>IF(Text!$AV$27=-2,TRUE,FALSE)</xm:f>
            <x14:dxf>
              <font>
                <b/>
                <i val="0"/>
                <color rgb="FFFF0000"/>
              </font>
              <border>
                <left style="thin">
                  <color rgb="FFFF0000"/>
                </left>
                <right style="thin">
                  <color rgb="FFFF0000"/>
                </right>
                <top style="thin">
                  <color rgb="FFFF0000"/>
                </top>
                <bottom style="thin">
                  <color rgb="FFFF0000"/>
                </bottom>
              </border>
            </x14:dxf>
          </x14:cfRule>
          <xm:sqref>U123:Y123</xm:sqref>
        </x14:conditionalFormatting>
        <x14:conditionalFormatting xmlns:xm="http://schemas.microsoft.com/office/excel/2006/main">
          <x14:cfRule type="expression" priority="1702" id="{CD7F5F4C-C8D8-477C-8FD0-6285A6CB42C4}">
            <xm:f>IF(Text!$AV$26=-2,TRUE,FALSE)</xm:f>
            <x14:dxf>
              <font>
                <b/>
                <i val="0"/>
                <color rgb="FFFF0000"/>
              </font>
              <border>
                <left style="thin">
                  <color rgb="FFFF0000"/>
                </left>
                <right style="thin">
                  <color rgb="FFFF0000"/>
                </right>
                <top style="thin">
                  <color rgb="FFFF0000"/>
                </top>
                <bottom style="thin">
                  <color rgb="FFFF0000"/>
                </bottom>
              </border>
            </x14:dxf>
          </x14:cfRule>
          <xm:sqref>U122:Y122</xm:sqref>
        </x14:conditionalFormatting>
        <x14:conditionalFormatting xmlns:xm="http://schemas.microsoft.com/office/excel/2006/main">
          <x14:cfRule type="expression" priority="1682" id="{5E44A5EF-8BF3-441B-B90D-5FF19CBC1E6F}">
            <xm:f>IF(Text!$AV$25=-2,TRUE,FALSE)</xm:f>
            <x14:dxf>
              <font>
                <b/>
                <i val="0"/>
                <color rgb="FFFF0000"/>
              </font>
              <border>
                <left style="thin">
                  <color rgb="FFFF0000"/>
                </left>
                <right style="thin">
                  <color rgb="FFFF0000"/>
                </right>
                <top style="thin">
                  <color rgb="FFFF0000"/>
                </top>
                <bottom style="thin">
                  <color rgb="FFFF0000"/>
                </bottom>
              </border>
            </x14:dxf>
          </x14:cfRule>
          <xm:sqref>U121:Y121</xm:sqref>
        </x14:conditionalFormatting>
        <x14:conditionalFormatting xmlns:xm="http://schemas.microsoft.com/office/excel/2006/main">
          <x14:cfRule type="expression" priority="1687" id="{FAFE223B-0BF7-48A7-A497-9BDA6D34045F}">
            <xm:f>IF(Text!$AV$24=-2,TRUE,FALSE)</xm:f>
            <x14:dxf>
              <font>
                <b/>
                <i val="0"/>
                <color rgb="FFFF0000"/>
              </font>
              <border>
                <left style="thin">
                  <color rgb="FFFF0000"/>
                </left>
                <right style="thin">
                  <color rgb="FFFF0000"/>
                </right>
                <top style="thin">
                  <color rgb="FFFF0000"/>
                </top>
                <bottom style="thin">
                  <color rgb="FFFF0000"/>
                </bottom>
              </border>
            </x14:dxf>
          </x14:cfRule>
          <xm:sqref>U120:Y120</xm:sqref>
        </x14:conditionalFormatting>
        <x14:conditionalFormatting xmlns:xm="http://schemas.microsoft.com/office/excel/2006/main">
          <x14:cfRule type="expression" priority="1712" id="{999FA44D-8E1E-41E3-83ED-3C7040D3C4BD}">
            <xm:f>IF(Text!$AV$23=-2,TRUE,FALSE)</xm:f>
            <x14:dxf>
              <font>
                <b/>
                <i val="0"/>
                <color rgb="FFFF0000"/>
              </font>
              <border>
                <left style="thin">
                  <color rgb="FFFF0000"/>
                </left>
                <right style="thin">
                  <color rgb="FFFF0000"/>
                </right>
                <top style="thin">
                  <color rgb="FFFF0000"/>
                </top>
                <bottom style="thin">
                  <color rgb="FFFF0000"/>
                </bottom>
              </border>
            </x14:dxf>
          </x14:cfRule>
          <xm:sqref>U119:Y119</xm:sqref>
        </x14:conditionalFormatting>
        <x14:conditionalFormatting xmlns:xm="http://schemas.microsoft.com/office/excel/2006/main">
          <x14:cfRule type="expression" priority="10933" id="{C698B501-8ED0-47C2-92BC-357E507B55EC}">
            <xm:f>IF(Text!$AS$23=-2,TRUE,FALSE)</xm:f>
            <x14:dxf>
              <font>
                <b/>
                <i val="0"/>
                <color rgb="FFFF0000"/>
              </font>
              <border>
                <left style="thin">
                  <color rgb="FFFF0000"/>
                </left>
                <right style="thin">
                  <color rgb="FFFF0000"/>
                </right>
                <top style="thin">
                  <color rgb="FFFF0000"/>
                </top>
                <bottom style="thin">
                  <color rgb="FFFF0000"/>
                </bottom>
              </border>
            </x14:dxf>
          </x14:cfRule>
          <xm:sqref>H119:K119</xm:sqref>
        </x14:conditionalFormatting>
        <x14:conditionalFormatting xmlns:xm="http://schemas.microsoft.com/office/excel/2006/main">
          <x14:cfRule type="expression" priority="10922" id="{57B0E04B-FDAE-4774-B8E0-1D0B5584E0C0}">
            <xm:f>IF(OR(Tool!$H$18="Klima-Check",Tool!$H$18="Check Climat",Tool!$H$18="Check Clima"),TRUE,FALSE)</xm:f>
            <x14:dxf>
              <fill>
                <patternFill>
                  <bgColor rgb="FFF0F0F0"/>
                </patternFill>
              </fill>
            </x14:dxf>
          </x14:cfRule>
          <x14:cfRule type="expression" priority="10924" id="{6AB396D7-4695-42F3-97F7-86373B907F8C}">
            <xm:f>IF(Text!$AS$24=-1,TRUE,FALSE)</xm:f>
            <x14:dxf>
              <font>
                <color rgb="FFFF0000"/>
              </font>
            </x14:dxf>
          </x14:cfRule>
          <x14:cfRule type="expression" priority="10925" id="{3CE2C33D-62FC-4C45-8344-17FD98B5C30B}">
            <xm:f>IF(Text!$AS$24=1,TRUE,FALSE)</xm:f>
            <x14:dxf>
              <font>
                <color theme="9" tint="-0.24994659260841701"/>
              </font>
            </x14:dxf>
          </x14:cfRule>
          <x14:cfRule type="expression" priority="10926" id="{496E6EDB-4CEF-4EED-AD3F-C3C04EEA17F4}">
            <xm:f>IF(Text!$AS$24=2,TRUE,FALSE)</xm:f>
            <x14:dxf>
              <font>
                <b/>
                <i val="0"/>
                <strike/>
                <color theme="9" tint="-0.24994659260841701"/>
              </font>
            </x14:dxf>
          </x14:cfRule>
          <xm:sqref>H120</xm:sqref>
        </x14:conditionalFormatting>
        <x14:conditionalFormatting xmlns:xm="http://schemas.microsoft.com/office/excel/2006/main">
          <x14:cfRule type="expression" priority="10923" id="{A1269EF3-CF28-4A71-8DF1-F0F68E6E91BB}">
            <xm:f>IF(Text!$AS$24=-2,TRUE,FALSE)</xm:f>
            <x14:dxf>
              <font>
                <b/>
                <i val="0"/>
                <color rgb="FFFF0000"/>
              </font>
              <border>
                <left style="thin">
                  <color rgb="FFFF0000"/>
                </left>
                <right style="thin">
                  <color rgb="FFFF0000"/>
                </right>
                <top style="thin">
                  <color rgb="FFFF0000"/>
                </top>
                <bottom style="thin">
                  <color rgb="FFFF0000"/>
                </bottom>
              </border>
            </x14:dxf>
          </x14:cfRule>
          <xm:sqref>H120:K120</xm:sqref>
        </x14:conditionalFormatting>
        <x14:conditionalFormatting xmlns:xm="http://schemas.microsoft.com/office/excel/2006/main">
          <x14:cfRule type="expression" priority="10938" id="{FADF2882-6CF9-42CD-9AD7-6AB9A17C9ED3}">
            <xm:f>IF(Text!$AS$25=-2,TRUE,FALSE)</xm:f>
            <x14:dxf>
              <font>
                <b/>
                <i val="0"/>
                <color rgb="FFFF0000"/>
              </font>
              <border>
                <left style="thin">
                  <color rgb="FFFF0000"/>
                </left>
                <right style="thin">
                  <color rgb="FFFF0000"/>
                </right>
                <top style="thin">
                  <color rgb="FFFF0000"/>
                </top>
                <bottom style="thin">
                  <color rgb="FFFF0000"/>
                </bottom>
              </border>
            </x14:dxf>
          </x14:cfRule>
          <xm:sqref>H122:K122</xm:sqref>
        </x14:conditionalFormatting>
        <x14:conditionalFormatting xmlns:xm="http://schemas.microsoft.com/office/excel/2006/main">
          <x14:cfRule type="expression" priority="10943" id="{1FE93881-0746-4BF4-9954-C3B5D8C0A92E}">
            <xm:f>IF(Text!$AS$26=-2,TRUE,FALSE)</xm:f>
            <x14:dxf>
              <font>
                <b/>
                <i val="0"/>
                <color rgb="FFFF0000"/>
              </font>
              <border>
                <left style="thin">
                  <color rgb="FFFF0000"/>
                </left>
                <right style="thin">
                  <color rgb="FFFF0000"/>
                </right>
                <top style="thin">
                  <color rgb="FFFF0000"/>
                </top>
                <bottom style="thin">
                  <color rgb="FFFF0000"/>
                </bottom>
              </border>
            </x14:dxf>
          </x14:cfRule>
          <xm:sqref>H125:K125</xm:sqref>
        </x14:conditionalFormatting>
        <x14:conditionalFormatting xmlns:xm="http://schemas.microsoft.com/office/excel/2006/main">
          <x14:cfRule type="expression" priority="10948" id="{F7BEE95F-B606-48C2-BCEA-9CF3001D1A2E}">
            <xm:f>IF(Text!$AS$27=-2,TRUE,FALSE)</xm:f>
            <x14:dxf>
              <font>
                <b/>
                <i val="0"/>
                <color rgb="FFFF0000"/>
              </font>
              <border>
                <left style="thin">
                  <color rgb="FFFF0000"/>
                </left>
                <right style="thin">
                  <color rgb="FFFF0000"/>
                </right>
                <top style="thin">
                  <color rgb="FFFF0000"/>
                </top>
                <bottom style="thin">
                  <color rgb="FFFF0000"/>
                </bottom>
              </border>
            </x14:dxf>
          </x14:cfRule>
          <xm:sqref>H126:K126</xm:sqref>
        </x14:conditionalFormatting>
        <x14:conditionalFormatting xmlns:xm="http://schemas.microsoft.com/office/excel/2006/main">
          <x14:cfRule type="expression" priority="10952" id="{27F5221E-926C-4D91-8F43-9BDB11783D15}">
            <xm:f>IF(OR(Tool!$H$18="Klima-Check",Tool!$H$18="Check Climat",Tool!$H$18="Check Clima"),TRUE,FALSE)</xm:f>
            <x14:dxf>
              <fill>
                <patternFill>
                  <bgColor rgb="FFF0F0F0"/>
                </patternFill>
              </fill>
            </x14:dxf>
          </x14:cfRule>
          <x14:cfRule type="expression" priority="10954" id="{6A15584A-B5B9-42E5-8F98-6C137A3313F6}">
            <xm:f>IF(Text!$AS$28=-1,TRUE,FALSE)</xm:f>
            <x14:dxf>
              <font>
                <color rgb="FFFF0000"/>
              </font>
            </x14:dxf>
          </x14:cfRule>
          <x14:cfRule type="expression" priority="10955" id="{C0ABD48F-C30B-4130-8A75-1C61F60066BF}">
            <xm:f>IF(Text!$AS$28=1,TRUE,FALSE)</xm:f>
            <x14:dxf>
              <font>
                <color theme="9" tint="-0.24994659260841701"/>
              </font>
            </x14:dxf>
          </x14:cfRule>
          <x14:cfRule type="expression" priority="10956" id="{9784DC7E-5E89-41E9-8D5D-043046FFB5E8}">
            <xm:f>IF(Text!$AS$28=2,TRUE,FALSE)</xm:f>
            <x14:dxf>
              <font>
                <b/>
                <i val="0"/>
                <strike/>
                <color theme="9" tint="-0.24994659260841701"/>
              </font>
            </x14:dxf>
          </x14:cfRule>
          <xm:sqref>H129</xm:sqref>
        </x14:conditionalFormatting>
        <x14:conditionalFormatting xmlns:xm="http://schemas.microsoft.com/office/excel/2006/main">
          <x14:cfRule type="expression" priority="10953" id="{D136412D-74A0-4DCB-87E3-E9CD9B00CEB0}">
            <xm:f>IF(Text!$AS$28=-2,TRUE,FALSE)</xm:f>
            <x14:dxf>
              <font>
                <b/>
                <i val="0"/>
                <color rgb="FFFF0000"/>
              </font>
              <border>
                <left style="thin">
                  <color rgb="FFFF0000"/>
                </left>
                <right style="thin">
                  <color rgb="FFFF0000"/>
                </right>
                <top style="thin">
                  <color rgb="FFFF0000"/>
                </top>
                <bottom style="thin">
                  <color rgb="FFFF0000"/>
                </bottom>
              </border>
            </x14:dxf>
          </x14:cfRule>
          <xm:sqref>H129:K129</xm:sqref>
        </x14:conditionalFormatting>
        <x14:conditionalFormatting xmlns:xm="http://schemas.microsoft.com/office/excel/2006/main">
          <x14:cfRule type="expression" priority="10958" id="{7D1EBEF8-7DBF-49FD-AA63-04579D35EA19}">
            <xm:f>IF(Text!$AS$29=-2,TRUE,FALSE)</xm:f>
            <x14:dxf>
              <font>
                <b/>
                <i val="0"/>
                <color rgb="FFFF0000"/>
              </font>
              <border>
                <left style="thin">
                  <color rgb="FFFF0000"/>
                </left>
                <right style="thin">
                  <color rgb="FFFF0000"/>
                </right>
                <top style="thin">
                  <color rgb="FFFF0000"/>
                </top>
                <bottom style="thin">
                  <color rgb="FFFF0000"/>
                </bottom>
              </border>
            </x14:dxf>
          </x14:cfRule>
          <xm:sqref>H130:K130</xm:sqref>
        </x14:conditionalFormatting>
        <x14:conditionalFormatting xmlns:xm="http://schemas.microsoft.com/office/excel/2006/main">
          <x14:cfRule type="expression" priority="10963" id="{F2173918-69E0-4929-9DB2-13060AF2E1BE}">
            <xm:f>IF(Text!$AS$30=-2,TRUE,FALSE)</xm:f>
            <x14:dxf>
              <font>
                <b/>
                <i val="0"/>
                <color rgb="FFFF0000"/>
              </font>
              <border>
                <left style="thin">
                  <color rgb="FFFF0000"/>
                </left>
                <right style="thin">
                  <color rgb="FFFF0000"/>
                </right>
                <top style="thin">
                  <color rgb="FFFF0000"/>
                </top>
                <bottom style="thin">
                  <color rgb="FFFF0000"/>
                </bottom>
              </border>
            </x14:dxf>
          </x14:cfRule>
          <xm:sqref>H133:K133</xm:sqref>
        </x14:conditionalFormatting>
        <x14:conditionalFormatting xmlns:xm="http://schemas.microsoft.com/office/excel/2006/main">
          <x14:cfRule type="expression" priority="10968" id="{361AF1B1-8C7F-461E-9D43-8959424FE3A2}">
            <xm:f>IF(Text!$AS$31=-2,TRUE,FALSE)</xm:f>
            <x14:dxf>
              <font>
                <b/>
                <i val="0"/>
                <color rgb="FFFF0000"/>
              </font>
              <border>
                <left style="thin">
                  <color rgb="FFFF0000"/>
                </left>
                <right style="thin">
                  <color rgb="FFFF0000"/>
                </right>
                <top style="thin">
                  <color rgb="FFFF0000"/>
                </top>
                <bottom style="thin">
                  <color rgb="FFFF0000"/>
                </bottom>
              </border>
            </x14:dxf>
          </x14:cfRule>
          <xm:sqref>H134:K134</xm:sqref>
        </x14:conditionalFormatting>
        <x14:conditionalFormatting xmlns:xm="http://schemas.microsoft.com/office/excel/2006/main">
          <x14:cfRule type="expression" priority="10973" id="{1040F9AD-3352-453A-B0A6-989C36892DE6}">
            <xm:f>IF(Text!$AS$32=-2,TRUE,FALSE)</xm:f>
            <x14:dxf>
              <font>
                <b/>
                <i val="0"/>
                <color rgb="FFFF0000"/>
              </font>
              <border>
                <left style="thin">
                  <color rgb="FFFF0000"/>
                </left>
                <right style="thin">
                  <color rgb="FFFF0000"/>
                </right>
                <top style="thin">
                  <color rgb="FFFF0000"/>
                </top>
                <bottom style="thin">
                  <color rgb="FFFF0000"/>
                </bottom>
              </border>
            </x14:dxf>
          </x14:cfRule>
          <xm:sqref>H135:K135</xm:sqref>
        </x14:conditionalFormatting>
        <x14:conditionalFormatting xmlns:xm="http://schemas.microsoft.com/office/excel/2006/main">
          <x14:cfRule type="expression" priority="10978" id="{F6D50EFA-6FE4-45B2-B25E-B3540AC69469}">
            <xm:f>IF(Text!$AS$33=-2,TRUE,FALSE)</xm:f>
            <x14:dxf>
              <font>
                <b/>
                <i val="0"/>
                <color rgb="FFFF0000"/>
              </font>
              <border>
                <left style="thin">
                  <color rgb="FFFF0000"/>
                </left>
                <right style="thin">
                  <color rgb="FFFF0000"/>
                </right>
                <top style="thin">
                  <color rgb="FFFF0000"/>
                </top>
                <bottom style="thin">
                  <color rgb="FFFF0000"/>
                </bottom>
              </border>
            </x14:dxf>
          </x14:cfRule>
          <xm:sqref>H136:K136</xm:sqref>
        </x14:conditionalFormatting>
        <x14:conditionalFormatting xmlns:xm="http://schemas.microsoft.com/office/excel/2006/main">
          <x14:cfRule type="expression" priority="10983" id="{128B1318-A4D8-425B-97A9-E3513F12F11B}">
            <xm:f>IF(Text!$AS$34=-2,TRUE,FALSE)</xm:f>
            <x14:dxf>
              <font>
                <b/>
                <i val="0"/>
                <color rgb="FFFF0000"/>
              </font>
              <border>
                <left style="thin">
                  <color rgb="FFFF0000"/>
                </left>
                <right style="thin">
                  <color rgb="FFFF0000"/>
                </right>
                <top style="thin">
                  <color rgb="FFFF0000"/>
                </top>
                <bottom style="thin">
                  <color rgb="FFFF0000"/>
                </bottom>
              </border>
            </x14:dxf>
          </x14:cfRule>
          <xm:sqref>H137:K137</xm:sqref>
        </x14:conditionalFormatting>
        <x14:conditionalFormatting xmlns:xm="http://schemas.microsoft.com/office/excel/2006/main">
          <x14:cfRule type="expression" priority="10988" id="{8C3A2ED7-61F3-4A1E-B24D-B361C1F8FCFF}">
            <xm:f>IF(Text!$AS$35=-2,TRUE,FALSE)</xm:f>
            <x14:dxf>
              <font>
                <b/>
                <i val="0"/>
                <color rgb="FFFF0000"/>
              </font>
              <border>
                <left style="thin">
                  <color rgb="FFFF0000"/>
                </left>
                <right style="thin">
                  <color rgb="FFFF0000"/>
                </right>
                <top style="thin">
                  <color rgb="FFFF0000"/>
                </top>
                <bottom style="thin">
                  <color rgb="FFFF0000"/>
                </bottom>
              </border>
            </x14:dxf>
          </x14:cfRule>
          <xm:sqref>H138:K138</xm:sqref>
        </x14:conditionalFormatting>
        <x14:conditionalFormatting xmlns:xm="http://schemas.microsoft.com/office/excel/2006/main">
          <x14:cfRule type="expression" priority="10993" id="{40950CAA-2513-4C1E-A6AC-AEE39F7E819A}">
            <xm:f>IF(Text!$AS$36=-2,TRUE,FALSE)</xm:f>
            <x14:dxf>
              <font>
                <b/>
                <i val="0"/>
                <color rgb="FFFF0000"/>
              </font>
              <border>
                <left style="thin">
                  <color rgb="FFFF0000"/>
                </left>
                <right style="thin">
                  <color rgb="FFFF0000"/>
                </right>
                <top style="thin">
                  <color rgb="FFFF0000"/>
                </top>
                <bottom style="thin">
                  <color rgb="FFFF0000"/>
                </bottom>
              </border>
            </x14:dxf>
          </x14:cfRule>
          <xm:sqref>H139:K139</xm:sqref>
        </x14:conditionalFormatting>
        <x14:conditionalFormatting xmlns:xm="http://schemas.microsoft.com/office/excel/2006/main">
          <x14:cfRule type="expression" priority="11126" id="{68E1CD96-2F0F-41E1-8DE6-33C410362E20}">
            <xm:f>IF(Text!$AS$38=-2,TRUE,FALSE)</xm:f>
            <x14:dxf>
              <font>
                <b/>
                <i val="0"/>
                <color rgb="FFFF0000"/>
              </font>
              <border>
                <left style="thin">
                  <color rgb="FFFF0000"/>
                </left>
                <right style="thin">
                  <color rgb="FFFF0000"/>
                </right>
                <top style="thin">
                  <color rgb="FFFF0000"/>
                </top>
                <bottom style="thin">
                  <color rgb="FFFF0000"/>
                </bottom>
              </border>
            </x14:dxf>
          </x14:cfRule>
          <xm:sqref>H145:K145</xm:sqref>
        </x14:conditionalFormatting>
        <x14:conditionalFormatting xmlns:xm="http://schemas.microsoft.com/office/excel/2006/main">
          <x14:cfRule type="expression" priority="11131" id="{31D94B03-EE8F-4489-913A-B66BD34954C6}">
            <xm:f>IF(Text!$AS$39=-2,TRUE,FALSE)</xm:f>
            <x14:dxf>
              <font>
                <b/>
                <i val="0"/>
                <color rgb="FFFF0000"/>
              </font>
              <border>
                <left style="thin">
                  <color rgb="FFFF0000"/>
                </left>
                <right style="thin">
                  <color rgb="FFFF0000"/>
                </right>
                <top style="thin">
                  <color rgb="FFFF0000"/>
                </top>
                <bottom style="thin">
                  <color rgb="FFFF0000"/>
                </bottom>
              </border>
            </x14:dxf>
          </x14:cfRule>
          <xm:sqref>H146:K146</xm:sqref>
        </x14:conditionalFormatting>
        <x14:conditionalFormatting xmlns:xm="http://schemas.microsoft.com/office/excel/2006/main">
          <x14:cfRule type="expression" priority="11136" id="{D99B53CF-4D91-40C1-B781-9156182716C0}">
            <xm:f>IF(Text!$AS$40=-2,TRUE,FALSE)</xm:f>
            <x14:dxf>
              <font>
                <b/>
                <i val="0"/>
                <color rgb="FFFF0000"/>
              </font>
              <border>
                <left style="thin">
                  <color rgb="FFFF0000"/>
                </left>
                <right style="thin">
                  <color rgb="FFFF0000"/>
                </right>
                <top style="thin">
                  <color rgb="FFFF0000"/>
                </top>
                <bottom style="thin">
                  <color rgb="FFFF0000"/>
                </bottom>
              </border>
            </x14:dxf>
          </x14:cfRule>
          <xm:sqref>H147:K147</xm:sqref>
        </x14:conditionalFormatting>
        <x14:conditionalFormatting xmlns:xm="http://schemas.microsoft.com/office/excel/2006/main">
          <x14:cfRule type="expression" priority="11141" id="{5E3C8AB7-53B6-4C16-8A2A-A06173E8D053}">
            <xm:f>IF(Text!$AS$41=-2,TRUE,FALSE)</xm:f>
            <x14:dxf>
              <font>
                <b/>
                <i val="0"/>
                <color rgb="FFFF0000"/>
              </font>
              <border>
                <left style="thin">
                  <color rgb="FFFF0000"/>
                </left>
                <right style="thin">
                  <color rgb="FFFF0000"/>
                </right>
                <top style="thin">
                  <color rgb="FFFF0000"/>
                </top>
                <bottom style="thin">
                  <color rgb="FFFF0000"/>
                </bottom>
              </border>
            </x14:dxf>
          </x14:cfRule>
          <xm:sqref>H149:K149</xm:sqref>
        </x14:conditionalFormatting>
        <x14:conditionalFormatting xmlns:xm="http://schemas.microsoft.com/office/excel/2006/main">
          <x14:cfRule type="expression" priority="11146" id="{6A6440D4-C153-4527-9725-6C0BE752FF49}">
            <xm:f>IF(Text!$AS$42=-2,TRUE,FALSE)</xm:f>
            <x14:dxf>
              <font>
                <b/>
                <i val="0"/>
                <color rgb="FFFF0000"/>
              </font>
              <border>
                <left style="thin">
                  <color rgb="FFFF0000"/>
                </left>
                <right style="thin">
                  <color rgb="FFFF0000"/>
                </right>
                <top style="thin">
                  <color rgb="FFFF0000"/>
                </top>
                <bottom style="thin">
                  <color rgb="FFFF0000"/>
                </bottom>
              </border>
            </x14:dxf>
          </x14:cfRule>
          <xm:sqref>H150:K150</xm:sqref>
        </x14:conditionalFormatting>
        <x14:conditionalFormatting xmlns:xm="http://schemas.microsoft.com/office/excel/2006/main">
          <x14:cfRule type="expression" priority="11151" id="{89699099-4CE4-4C5A-B86B-9A89778A8AE8}">
            <xm:f>IF(Text!$AS$43=-2,TRUE,FALSE)</xm:f>
            <x14:dxf>
              <font>
                <b/>
                <i val="0"/>
                <color rgb="FFFF0000"/>
              </font>
              <border>
                <left style="thin">
                  <color rgb="FFFF0000"/>
                </left>
                <right style="thin">
                  <color rgb="FFFF0000"/>
                </right>
                <top style="thin">
                  <color rgb="FFFF0000"/>
                </top>
                <bottom style="thin">
                  <color rgb="FFFF0000"/>
                </bottom>
              </border>
            </x14:dxf>
          </x14:cfRule>
          <xm:sqref>H151:K151</xm:sqref>
        </x14:conditionalFormatting>
        <x14:conditionalFormatting xmlns:xm="http://schemas.microsoft.com/office/excel/2006/main">
          <x14:cfRule type="expression" priority="11156" id="{669374F0-B1AF-4C67-96AB-878DC8F05CA4}">
            <xm:f>IF(Text!$AS$44=-2,TRUE,FALSE)</xm:f>
            <x14:dxf>
              <font>
                <b/>
                <i val="0"/>
                <color rgb="FFFF0000"/>
              </font>
              <border>
                <left style="thin">
                  <color rgb="FFFF0000"/>
                </left>
                <right style="thin">
                  <color rgb="FFFF0000"/>
                </right>
                <top style="thin">
                  <color rgb="FFFF0000"/>
                </top>
                <bottom style="thin">
                  <color rgb="FFFF0000"/>
                </bottom>
              </border>
            </x14:dxf>
          </x14:cfRule>
          <xm:sqref>H153:K153</xm:sqref>
        </x14:conditionalFormatting>
        <x14:conditionalFormatting xmlns:xm="http://schemas.microsoft.com/office/excel/2006/main">
          <x14:cfRule type="expression" priority="11161" id="{332AAB12-7C27-4E5E-8F96-0DE8C57AA913}">
            <xm:f>IF(Text!$AS$46=-2,TRUE,FALSE)</xm:f>
            <x14:dxf>
              <font>
                <b/>
                <i val="0"/>
                <color rgb="FFFF0000"/>
              </font>
              <border>
                <left style="thin">
                  <color rgb="FFFF0000"/>
                </left>
                <right style="thin">
                  <color rgb="FFFF0000"/>
                </right>
                <top style="thin">
                  <color rgb="FFFF0000"/>
                </top>
                <bottom style="thin">
                  <color rgb="FFFF0000"/>
                </bottom>
              </border>
            </x14:dxf>
          </x14:cfRule>
          <xm:sqref>H160:K160</xm:sqref>
        </x14:conditionalFormatting>
        <x14:conditionalFormatting xmlns:xm="http://schemas.microsoft.com/office/excel/2006/main">
          <x14:cfRule type="expression" priority="11166" id="{CD45C3F9-67D3-4997-91AC-AE7D39025BBF}">
            <xm:f>IF(Text!$AS$47=-2,TRUE,FALSE)</xm:f>
            <x14:dxf>
              <font>
                <b/>
                <i val="0"/>
                <color rgb="FFFF0000"/>
              </font>
              <border>
                <left style="thin">
                  <color rgb="FFFF0000"/>
                </left>
                <right style="thin">
                  <color rgb="FFFF0000"/>
                </right>
                <top style="thin">
                  <color rgb="FFFF0000"/>
                </top>
                <bottom style="thin">
                  <color rgb="FFFF0000"/>
                </bottom>
              </border>
            </x14:dxf>
          </x14:cfRule>
          <xm:sqref>H161:K161</xm:sqref>
        </x14:conditionalFormatting>
        <x14:conditionalFormatting xmlns:xm="http://schemas.microsoft.com/office/excel/2006/main">
          <x14:cfRule type="expression" priority="11171" id="{3C2622F4-9F1F-4B08-AE00-110251872CF7}">
            <xm:f>IF(Text!$AS$48=-2,TRUE,FALSE)</xm:f>
            <x14:dxf>
              <font>
                <b/>
                <i val="0"/>
                <color rgb="FFFF0000"/>
              </font>
              <border>
                <left style="thin">
                  <color rgb="FFFF0000"/>
                </left>
                <right style="thin">
                  <color rgb="FFFF0000"/>
                </right>
                <top style="thin">
                  <color rgb="FFFF0000"/>
                </top>
                <bottom style="thin">
                  <color rgb="FFFF0000"/>
                </bottom>
              </border>
            </x14:dxf>
          </x14:cfRule>
          <xm:sqref>H162:K162</xm:sqref>
        </x14:conditionalFormatting>
        <x14:conditionalFormatting xmlns:xm="http://schemas.microsoft.com/office/excel/2006/main">
          <x14:cfRule type="expression" priority="11176" id="{C4D67418-8412-46B4-94C2-A13B47D6E32F}">
            <xm:f>IF(Text!$AS$49=-2,TRUE,FALSE)</xm:f>
            <x14:dxf>
              <font>
                <b/>
                <i val="0"/>
                <color rgb="FFFF0000"/>
              </font>
              <border>
                <left style="thin">
                  <color rgb="FFFF0000"/>
                </left>
                <right style="thin">
                  <color rgb="FFFF0000"/>
                </right>
                <top style="thin">
                  <color rgb="FFFF0000"/>
                </top>
                <bottom style="thin">
                  <color rgb="FFFF0000"/>
                </bottom>
              </border>
            </x14:dxf>
          </x14:cfRule>
          <xm:sqref>H164:K164</xm:sqref>
        </x14:conditionalFormatting>
        <x14:conditionalFormatting xmlns:xm="http://schemas.microsoft.com/office/excel/2006/main">
          <x14:cfRule type="expression" priority="11181" id="{CF157BFF-A6F5-4CB3-A6CF-C5F64411DE7D}">
            <xm:f>IF(Text!$AS$50=-2,TRUE,FALSE)</xm:f>
            <x14:dxf>
              <font>
                <b/>
                <i val="0"/>
                <color rgb="FFFF0000"/>
              </font>
              <border>
                <left style="thin">
                  <color rgb="FFFF0000"/>
                </left>
                <right style="thin">
                  <color rgb="FFFF0000"/>
                </right>
                <top style="thin">
                  <color rgb="FFFF0000"/>
                </top>
                <bottom style="thin">
                  <color rgb="FFFF0000"/>
                </bottom>
              </border>
            </x14:dxf>
          </x14:cfRule>
          <xm:sqref>H165:K165</xm:sqref>
        </x14:conditionalFormatting>
        <x14:conditionalFormatting xmlns:xm="http://schemas.microsoft.com/office/excel/2006/main">
          <x14:cfRule type="expression" priority="11186" id="{928A1145-8403-45E2-BA46-20AEAAF1750D}">
            <xm:f>IF(Text!$AS$51=-2,TRUE,FALSE)</xm:f>
            <x14:dxf>
              <font>
                <b/>
                <i val="0"/>
                <color rgb="FFFF0000"/>
              </font>
              <border>
                <left style="thin">
                  <color rgb="FFFF0000"/>
                </left>
                <right style="thin">
                  <color rgb="FFFF0000"/>
                </right>
                <top style="thin">
                  <color rgb="FFFF0000"/>
                </top>
                <bottom style="thin">
                  <color rgb="FFFF0000"/>
                </bottom>
              </border>
            </x14:dxf>
          </x14:cfRule>
          <xm:sqref>H168:K168</xm:sqref>
        </x14:conditionalFormatting>
        <x14:conditionalFormatting xmlns:xm="http://schemas.microsoft.com/office/excel/2006/main">
          <x14:cfRule type="expression" priority="11191" id="{2374B2F2-722D-4CA9-8F7B-A1708088092A}">
            <xm:f>IF(Text!$AS$52=-2,TRUE,FALSE)</xm:f>
            <x14:dxf>
              <font>
                <b/>
                <i val="0"/>
                <color rgb="FFFF0000"/>
              </font>
              <border>
                <left style="thin">
                  <color rgb="FFFF0000"/>
                </left>
                <right style="thin">
                  <color rgb="FFFF0000"/>
                </right>
                <top style="thin">
                  <color rgb="FFFF0000"/>
                </top>
                <bottom style="thin">
                  <color rgb="FFFF0000"/>
                </bottom>
              </border>
            </x14:dxf>
          </x14:cfRule>
          <xm:sqref>H169:K169</xm:sqref>
        </x14:conditionalFormatting>
        <x14:conditionalFormatting xmlns:xm="http://schemas.microsoft.com/office/excel/2006/main">
          <x14:cfRule type="expression" priority="11196" id="{3A49B0C6-86D2-4185-9CB3-64588D4B391A}">
            <xm:f>IF(Text!$AS$53=-2,TRUE,FALSE)</xm:f>
            <x14:dxf>
              <font>
                <b/>
                <i val="0"/>
                <color rgb="FFFF0000"/>
              </font>
              <border>
                <left style="thin">
                  <color rgb="FFFF0000"/>
                </left>
                <right style="thin">
                  <color rgb="FFFF0000"/>
                </right>
                <top style="thin">
                  <color rgb="FFFF0000"/>
                </top>
                <bottom style="thin">
                  <color rgb="FFFF0000"/>
                </bottom>
              </border>
            </x14:dxf>
          </x14:cfRule>
          <xm:sqref>H170:K170</xm:sqref>
        </x14:conditionalFormatting>
        <x14:conditionalFormatting xmlns:xm="http://schemas.microsoft.com/office/excel/2006/main">
          <x14:cfRule type="expression" priority="11201" id="{349CD2D8-3BD5-47D4-B84B-6247E67452A6}">
            <xm:f>IF(Text!$AS$54=-2,TRUE,FALSE)</xm:f>
            <x14:dxf>
              <font>
                <b/>
                <i val="0"/>
                <color rgb="FFFF0000"/>
              </font>
              <border>
                <left style="thin">
                  <color rgb="FFFF0000"/>
                </left>
                <right style="thin">
                  <color rgb="FFFF0000"/>
                </right>
                <top style="thin">
                  <color rgb="FFFF0000"/>
                </top>
                <bottom style="thin">
                  <color rgb="FFFF0000"/>
                </bottom>
              </border>
            </x14:dxf>
          </x14:cfRule>
          <xm:sqref>H171:K171</xm:sqref>
        </x14:conditionalFormatting>
        <x14:conditionalFormatting xmlns:xm="http://schemas.microsoft.com/office/excel/2006/main">
          <x14:cfRule type="expression" priority="11206" id="{399ED4EF-AB32-4407-89E4-276C06E013C3}">
            <xm:f>IF(Text!$AS$55=-2,TRUE,FALSE)</xm:f>
            <x14:dxf>
              <font>
                <b/>
                <i val="0"/>
                <color rgb="FFFF0000"/>
              </font>
              <border>
                <left style="thin">
                  <color rgb="FFFF0000"/>
                </left>
                <right style="thin">
                  <color rgb="FFFF0000"/>
                </right>
                <top style="thin">
                  <color rgb="FFFF0000"/>
                </top>
                <bottom style="thin">
                  <color rgb="FFFF0000"/>
                </bottom>
              </border>
            </x14:dxf>
          </x14:cfRule>
          <xm:sqref>H172:K172</xm:sqref>
        </x14:conditionalFormatting>
        <x14:conditionalFormatting xmlns:xm="http://schemas.microsoft.com/office/excel/2006/main">
          <x14:cfRule type="expression" priority="11211" id="{8B77D92E-04A9-4426-BD87-136F84C53FD6}">
            <xm:f>IF(Text!$AS$56=-2,TRUE,FALSE)</xm:f>
            <x14:dxf>
              <font>
                <b/>
                <i val="0"/>
                <color rgb="FFFF0000"/>
              </font>
              <border>
                <left style="thin">
                  <color rgb="FFFF0000"/>
                </left>
                <right style="thin">
                  <color rgb="FFFF0000"/>
                </right>
                <top style="thin">
                  <color rgb="FFFF0000"/>
                </top>
                <bottom style="thin">
                  <color rgb="FFFF0000"/>
                </bottom>
              </border>
            </x14:dxf>
          </x14:cfRule>
          <xm:sqref>H173:K173</xm:sqref>
        </x14:conditionalFormatting>
        <x14:conditionalFormatting xmlns:xm="http://schemas.microsoft.com/office/excel/2006/main">
          <x14:cfRule type="expression" priority="11216" id="{605A43D8-4D15-47C6-A6D9-F6568C5C1EF4}">
            <xm:f>IF(Text!$AS$57=-2,TRUE,FALSE)</xm:f>
            <x14:dxf>
              <font>
                <b/>
                <i val="0"/>
                <color rgb="FFFF0000"/>
              </font>
              <border>
                <left style="thin">
                  <color rgb="FFFF0000"/>
                </left>
                <right style="thin">
                  <color rgb="FFFF0000"/>
                </right>
                <top style="thin">
                  <color rgb="FFFF0000"/>
                </top>
                <bottom style="thin">
                  <color rgb="FFFF0000"/>
                </bottom>
              </border>
            </x14:dxf>
          </x14:cfRule>
          <xm:sqref>H175:K175</xm:sqref>
        </x14:conditionalFormatting>
        <x14:conditionalFormatting xmlns:xm="http://schemas.microsoft.com/office/excel/2006/main">
          <x14:cfRule type="expression" priority="11221" id="{822EC020-2EF7-4494-9913-D52B32DF9537}">
            <xm:f>IF(Text!$AS$58=-2,TRUE,FALSE)</xm:f>
            <x14:dxf>
              <font>
                <b/>
                <i val="0"/>
                <color rgb="FFFF0000"/>
              </font>
              <border>
                <left style="thin">
                  <color rgb="FFFF0000"/>
                </left>
                <right style="thin">
                  <color rgb="FFFF0000"/>
                </right>
                <top style="thin">
                  <color rgb="FFFF0000"/>
                </top>
                <bottom style="thin">
                  <color rgb="FFFF0000"/>
                </bottom>
              </border>
            </x14:dxf>
          </x14:cfRule>
          <xm:sqref>H176:K176</xm:sqref>
        </x14:conditionalFormatting>
        <x14:conditionalFormatting xmlns:xm="http://schemas.microsoft.com/office/excel/2006/main">
          <x14:cfRule type="expression" priority="11226" id="{F44C6890-7178-4A2A-9B36-08D44EADCC75}">
            <xm:f>IF(Text!$AS$59=-2,TRUE,FALSE)</xm:f>
            <x14:dxf>
              <font>
                <b/>
                <i val="0"/>
                <color rgb="FFFF0000"/>
              </font>
              <border>
                <left style="thin">
                  <color rgb="FFFF0000"/>
                </left>
                <right style="thin">
                  <color rgb="FFFF0000"/>
                </right>
                <top style="thin">
                  <color rgb="FFFF0000"/>
                </top>
                <bottom style="thin">
                  <color rgb="FFFF0000"/>
                </bottom>
              </border>
            </x14:dxf>
          </x14:cfRule>
          <xm:sqref>H177:K177</xm:sqref>
        </x14:conditionalFormatting>
        <x14:conditionalFormatting xmlns:xm="http://schemas.microsoft.com/office/excel/2006/main">
          <x14:cfRule type="expression" priority="509" id="{5AE74CE6-9CAE-4735-98F8-18EDBEA08D3B}">
            <xm:f>IF(Text!$AV$26="E",TRUE,FALSE)</xm:f>
            <x14:dxf>
              <font>
                <strike val="0"/>
                <color theme="0" tint="-0.34998626667073579"/>
              </font>
            </x14:dxf>
          </x14:cfRule>
          <x14:cfRule type="expression" priority="510" id="{CC255235-C4CE-431E-A4E3-4738A8FCE630}">
            <xm:f>IF(Text!$AV$26=-2,TRUE,FALSE)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511" id="{6A865973-FEB5-4254-8F6C-FCDBE196C5EC}">
            <xm:f>IF(Text!$AV$26=-1,TRUE,FALSE)</xm:f>
            <x14:dxf>
              <font>
                <color rgb="FFFF0000"/>
              </font>
            </x14:dxf>
          </x14:cfRule>
          <x14:cfRule type="expression" priority="512" id="{7CF78998-E62A-4337-8970-3965D993957E}">
            <xm:f>IF(Text!$AV$26=1,TRUE,FALSE)</xm:f>
            <x14:dxf>
              <font>
                <color theme="9" tint="-0.24994659260841701"/>
              </font>
            </x14:dxf>
          </x14:cfRule>
          <x14:cfRule type="expression" priority="513" id="{AB5A83D5-8587-4681-8DE9-CB0A914369FB}">
            <xm:f>IF(Text!$AV$26=2,TRUE,FALSE)</xm:f>
            <x14:dxf>
              <font>
                <b/>
                <i val="0"/>
                <strike/>
                <color theme="9" tint="-0.24994659260841701"/>
              </font>
            </x14:dxf>
          </x14:cfRule>
          <xm:sqref>R301</xm:sqref>
        </x14:conditionalFormatting>
        <x14:conditionalFormatting xmlns:xm="http://schemas.microsoft.com/office/excel/2006/main">
          <x14:cfRule type="expression" priority="514" id="{DF23A155-8339-4426-8FF6-FC4E4BBF7668}">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515" id="{A8B9A015-A817-4882-8FD8-AE1CF20319DF}">
            <xm:f>IF(Text!$AS$25=-1,TRUE,FALSE)</xm:f>
            <x14:dxf>
              <font>
                <color rgb="FFFF0000"/>
              </font>
            </x14:dxf>
          </x14:cfRule>
          <x14:cfRule type="expression" priority="516" id="{E350FCC6-F4E8-4181-9F1F-C8C9A35DC889}">
            <xm:f>IF(Text!$AS$25=1,TRUE,FALSE)</xm:f>
            <x14:dxf>
              <font>
                <color theme="9" tint="-0.24994659260841701"/>
              </font>
            </x14:dxf>
          </x14:cfRule>
          <x14:cfRule type="expression" priority="517" id="{A2824CA5-9043-4BC9-B846-DD213FC3A7F7}">
            <xm:f>IF(Text!$AS$25=2,TRUE,FALSE)</xm:f>
            <x14:dxf>
              <font>
                <b/>
                <i val="0"/>
                <strike/>
                <color theme="9" tint="-0.24994659260841701"/>
              </font>
            </x14:dxf>
          </x14:cfRule>
          <xm:sqref>O298</xm:sqref>
        </x14:conditionalFormatting>
        <x14:conditionalFormatting xmlns:xm="http://schemas.microsoft.com/office/excel/2006/main">
          <x14:cfRule type="expression" priority="518" id="{FD28D023-4F61-4A59-8A7D-2F5C8B14E0F9}">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519" id="{99CBC03F-EEBC-49C0-A0DC-425D9983BB94}">
            <xm:f>IF(Text!$AV$25=-1,TRUE,FALSE)</xm:f>
            <x14:dxf>
              <font>
                <color rgb="FFFF0000"/>
              </font>
            </x14:dxf>
          </x14:cfRule>
          <x14:cfRule type="expression" priority="520" id="{D5ED5EA0-8F9F-47AE-B49A-8542A62BAFB0}">
            <xm:f>IF(Text!$AV$25=1,TRUE,FALSE)</xm:f>
            <x14:dxf>
              <font>
                <color theme="9" tint="-0.24994659260841701"/>
              </font>
            </x14:dxf>
          </x14:cfRule>
          <x14:cfRule type="expression" priority="521" id="{4E737F35-8BD4-4EBE-A257-227FE76D5282}">
            <xm:f>IF(Text!$AV$25=2,TRUE,FALSE)</xm:f>
            <x14:dxf>
              <font>
                <b/>
                <i val="0"/>
                <strike/>
                <color theme="9" tint="-0.24994659260841701"/>
              </font>
            </x14:dxf>
          </x14:cfRule>
          <xm:sqref>R298</xm:sqref>
        </x14:conditionalFormatting>
        <x14:conditionalFormatting xmlns:xm="http://schemas.microsoft.com/office/excel/2006/main">
          <x14:cfRule type="expression" priority="522" id="{AE099678-3BFF-4DE8-B0B6-C5866A7EC342}">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523" id="{36A26FF4-98DA-433E-8E36-28443E7D16B3}">
            <xm:f>IF(Text!$AV$24=-1,TRUE,FALSE)</xm:f>
            <x14:dxf>
              <font>
                <color rgb="FFFF0000"/>
              </font>
            </x14:dxf>
          </x14:cfRule>
          <x14:cfRule type="expression" priority="524" id="{E2C72C16-3108-4E42-B5B0-0C8BB04D4D9C}">
            <xm:f>IF(Text!$AV$24=1,TRUE,FALSE)</xm:f>
            <x14:dxf>
              <font>
                <color theme="9" tint="-0.24994659260841701"/>
              </font>
            </x14:dxf>
          </x14:cfRule>
          <x14:cfRule type="expression" priority="525" id="{973F2550-1565-47F5-BD84-9C689C9C5833}">
            <xm:f>IF(Text!$AV$24=2,TRUE,FALSE)</xm:f>
            <x14:dxf>
              <font>
                <b/>
                <i val="0"/>
                <strike/>
                <color theme="9" tint="-0.24994659260841701"/>
              </font>
            </x14:dxf>
          </x14:cfRule>
          <xm:sqref>R297</xm:sqref>
        </x14:conditionalFormatting>
        <x14:conditionalFormatting xmlns:xm="http://schemas.microsoft.com/office/excel/2006/main">
          <x14:cfRule type="expression" priority="526" id="{7F367AF0-0F8F-4D7A-8005-60FA74AAF592}">
            <xm:f>IF(Text!$AS$27=-2,TRUE,FALSE)</xm:f>
            <x14:dxf>
              <font>
                <b/>
                <i val="0"/>
                <color rgb="FFFF0000"/>
              </font>
              <border>
                <left style="thin">
                  <color rgb="FFFF0000"/>
                </left>
                <right style="thin">
                  <color rgb="FFFF0000"/>
                </right>
                <top style="thin">
                  <color rgb="FFFF0000"/>
                </top>
                <bottom style="thin">
                  <color rgb="FFFF0000"/>
                </bottom>
              </border>
            </x14:dxf>
          </x14:cfRule>
          <x14:cfRule type="expression" priority="527" id="{27E947AA-1A93-4CFB-B0F5-B417F89A0A78}">
            <xm:f>IF(Text!$AS$27=-1,TRUE,FALSE)</xm:f>
            <x14:dxf>
              <font>
                <color rgb="FFFF0000"/>
              </font>
            </x14:dxf>
          </x14:cfRule>
          <x14:cfRule type="expression" priority="528" id="{08DBB38A-8FE3-464E-9484-E0410177DD90}">
            <xm:f>IF(Text!$AS$27=1,TRUE,FALSE)</xm:f>
            <x14:dxf>
              <font>
                <color theme="9" tint="-0.24994659260841701"/>
              </font>
            </x14:dxf>
          </x14:cfRule>
          <x14:cfRule type="expression" priority="529" id="{37156FDE-1636-4D42-8624-F4BCF216416F}">
            <xm:f>IF(Text!$AS$27=2,TRUE,FALSE)</xm:f>
            <x14:dxf>
              <font>
                <b/>
                <i val="0"/>
                <strike/>
                <color theme="9" tint="-0.24994659260841701"/>
              </font>
            </x14:dxf>
          </x14:cfRule>
          <xm:sqref>O302</xm:sqref>
        </x14:conditionalFormatting>
        <x14:conditionalFormatting xmlns:xm="http://schemas.microsoft.com/office/excel/2006/main">
          <x14:cfRule type="expression" priority="530" id="{D0EBBE72-8A5D-4FCB-9924-9EC182043F61}">
            <xm:f>IF(Text!$AV$27=-2,TRUE,FALSE)</xm:f>
            <x14:dxf>
              <font>
                <b/>
                <i val="0"/>
                <color rgb="FFFF0000"/>
              </font>
              <border>
                <left style="thin">
                  <color rgb="FFFF0000"/>
                </left>
                <right style="thin">
                  <color rgb="FFFF0000"/>
                </right>
                <top style="thin">
                  <color rgb="FFFF0000"/>
                </top>
                <bottom style="thin">
                  <color rgb="FFFF0000"/>
                </bottom>
              </border>
            </x14:dxf>
          </x14:cfRule>
          <x14:cfRule type="expression" priority="531" id="{E052ED54-75C4-43E1-9AB3-A4572A599D99}">
            <xm:f>IF(Text!$AV$27=-1,TRUE,FALSE)</xm:f>
            <x14:dxf>
              <font>
                <color rgb="FFFF0000"/>
              </font>
            </x14:dxf>
          </x14:cfRule>
          <x14:cfRule type="expression" priority="532" id="{EDF2DDBD-109F-4A08-9020-970159DC99A5}">
            <xm:f>IF(Text!$AV$27=1,TRUE,FALSE)</xm:f>
            <x14:dxf>
              <font>
                <color theme="9" tint="-0.24994659260841701"/>
              </font>
            </x14:dxf>
          </x14:cfRule>
          <x14:cfRule type="expression" priority="533" id="{6C26E0D2-A5A4-42D9-86D8-1742F41F7726}">
            <xm:f>IF(Text!$AV$27=2,TRUE,FALSE)</xm:f>
            <x14:dxf>
              <font>
                <b/>
                <i val="0"/>
                <strike/>
                <color theme="9" tint="-0.24994659260841701"/>
              </font>
            </x14:dxf>
          </x14:cfRule>
          <xm:sqref>R302</xm:sqref>
        </x14:conditionalFormatting>
        <x14:conditionalFormatting xmlns:xm="http://schemas.microsoft.com/office/excel/2006/main">
          <x14:cfRule type="expression" priority="496" id="{AA90A83F-D30A-41D9-90AA-B989275A5A67}">
            <xm:f>IF(Text!$AV$26="E",TRUE,FALSE)</xm:f>
            <x14:dxf>
              <font>
                <strike val="0"/>
                <color theme="0" tint="-0.34998626667073579"/>
              </font>
            </x14:dxf>
          </x14:cfRule>
          <x14:cfRule type="expression" priority="497" id="{C4D8F1A6-C76A-40BD-963D-544CF6A50037}">
            <xm:f>IF(Text!$AV$26=-2,TRUE,FALSE)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498" id="{409F6792-7FA4-413F-A435-930CB6234719}">
            <xm:f>IF(Text!$AV$26=-1,TRUE,FALSE)</xm:f>
            <x14:dxf>
              <font>
                <color rgb="FFFF0000"/>
              </font>
            </x14:dxf>
          </x14:cfRule>
          <x14:cfRule type="expression" priority="499" id="{D1BEFEF5-8663-4F07-9223-8E9B496D1933}">
            <xm:f>IF(Text!$AV$26=1,TRUE,FALSE)</xm:f>
            <x14:dxf>
              <font>
                <color theme="9" tint="-0.24994659260841701"/>
              </font>
            </x14:dxf>
          </x14:cfRule>
          <x14:cfRule type="expression" priority="500" id="{3E0CD337-7E4E-4087-81FE-24BE0DD572DC}">
            <xm:f>IF(Text!$AV$26=2,TRUE,FALSE)</xm:f>
            <x14:dxf>
              <font>
                <b/>
                <i val="0"/>
                <strike/>
                <color theme="9" tint="-0.24994659260841701"/>
              </font>
            </x14:dxf>
          </x14:cfRule>
          <xm:sqref>R315</xm:sqref>
        </x14:conditionalFormatting>
        <x14:conditionalFormatting xmlns:xm="http://schemas.microsoft.com/office/excel/2006/main">
          <x14:cfRule type="expression" priority="505" id="{5F63266E-711B-4FD5-8CA9-8336D4160B0C}">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506" id="{DF64A532-16DD-4972-B309-3819ECA89C30}">
            <xm:f>IF(Text!$AV$24=-1,TRUE,FALSE)</xm:f>
            <x14:dxf>
              <font>
                <color rgb="FFFF0000"/>
              </font>
            </x14:dxf>
          </x14:cfRule>
          <x14:cfRule type="expression" priority="507" id="{F2A446AA-304E-47B9-8359-77D72E9B6E56}">
            <xm:f>IF(Text!$AV$24=1,TRUE,FALSE)</xm:f>
            <x14:dxf>
              <font>
                <color theme="9" tint="-0.24994659260841701"/>
              </font>
            </x14:dxf>
          </x14:cfRule>
          <x14:cfRule type="expression" priority="508" id="{1A94F3F2-1C78-4BF5-8913-432E7458E743}">
            <xm:f>IF(Text!$AV$24=2,TRUE,FALSE)</xm:f>
            <x14:dxf>
              <font>
                <b/>
                <i val="0"/>
                <strike/>
                <color theme="9" tint="-0.24994659260841701"/>
              </font>
            </x14:dxf>
          </x14:cfRule>
          <xm:sqref>R313</xm:sqref>
        </x14:conditionalFormatting>
        <x14:conditionalFormatting xmlns:xm="http://schemas.microsoft.com/office/excel/2006/main">
          <x14:cfRule type="expression" priority="444" id="{13E5245A-36AC-4965-A396-B2AEFBD10477}">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45" id="{3C990C71-2495-44AA-96BC-DBD040C03772}">
            <xm:f>IF(Text!$AS$25=-1,TRUE,FALSE)</xm:f>
            <x14:dxf>
              <font>
                <color rgb="FFFF0000"/>
              </font>
            </x14:dxf>
          </x14:cfRule>
          <x14:cfRule type="expression" priority="446" id="{4DE0A963-BA59-4772-82FA-08E6DB3F9922}">
            <xm:f>IF(Text!$AS$25=1,TRUE,FALSE)</xm:f>
            <x14:dxf>
              <font>
                <color theme="9" tint="-0.24994659260841701"/>
              </font>
            </x14:dxf>
          </x14:cfRule>
          <x14:cfRule type="expression" priority="447" id="{ECF35F9D-05CE-49B0-8758-24CFCE675A53}">
            <xm:f>IF(Text!$AS$25=2,TRUE,FALSE)</xm:f>
            <x14:dxf>
              <font>
                <b/>
                <i val="0"/>
                <strike/>
                <color theme="9" tint="-0.24994659260841701"/>
              </font>
            </x14:dxf>
          </x14:cfRule>
          <xm:sqref>O319</xm:sqref>
        </x14:conditionalFormatting>
        <x14:conditionalFormatting xmlns:xm="http://schemas.microsoft.com/office/excel/2006/main">
          <x14:cfRule type="expression" priority="448" id="{A10619D4-FC05-4240-BEFE-22946020C2CB}">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49" id="{4125551A-A29B-41A3-9F02-67C2F4BB4FF0}">
            <xm:f>IF(Text!$AV$25=-1,TRUE,FALSE)</xm:f>
            <x14:dxf>
              <font>
                <color rgb="FFFF0000"/>
              </font>
            </x14:dxf>
          </x14:cfRule>
          <x14:cfRule type="expression" priority="450" id="{0A61DA63-FC4D-4C04-B49B-69FD649C5A2D}">
            <xm:f>IF(Text!$AV$25=1,TRUE,FALSE)</xm:f>
            <x14:dxf>
              <font>
                <color theme="9" tint="-0.24994659260841701"/>
              </font>
            </x14:dxf>
          </x14:cfRule>
          <x14:cfRule type="expression" priority="451" id="{77A3F3C2-3A4F-4518-9116-A536C0AF53D9}">
            <xm:f>IF(Text!$AV$25=2,TRUE,FALSE)</xm:f>
            <x14:dxf>
              <font>
                <b/>
                <i val="0"/>
                <strike/>
                <color theme="9" tint="-0.24994659260841701"/>
              </font>
            </x14:dxf>
          </x14:cfRule>
          <xm:sqref>R319</xm:sqref>
        </x14:conditionalFormatting>
        <x14:conditionalFormatting xmlns:xm="http://schemas.microsoft.com/office/excel/2006/main">
          <x14:cfRule type="expression" priority="452" id="{197CA81D-06DF-46B1-A0D1-47FDC993BD62}">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453" id="{220BAAAD-2EBF-46F7-BE56-FBC108529E8E}">
            <xm:f>IF(Text!$AV$24=-1,TRUE,FALSE)</xm:f>
            <x14:dxf>
              <font>
                <color rgb="FFFF0000"/>
              </font>
            </x14:dxf>
          </x14:cfRule>
          <x14:cfRule type="expression" priority="454" id="{F31B238E-543D-471B-BA7C-15121E939A0A}">
            <xm:f>IF(Text!$AV$24=1,TRUE,FALSE)</xm:f>
            <x14:dxf>
              <font>
                <color theme="9" tint="-0.24994659260841701"/>
              </font>
            </x14:dxf>
          </x14:cfRule>
          <x14:cfRule type="expression" priority="455" id="{C2631432-F796-4EA5-A0D3-8CD3778FC5C5}">
            <xm:f>IF(Text!$AV$24=2,TRUE,FALSE)</xm:f>
            <x14:dxf>
              <font>
                <b/>
                <i val="0"/>
                <strike/>
                <color theme="9" tint="-0.24994659260841701"/>
              </font>
            </x14:dxf>
          </x14:cfRule>
          <xm:sqref>R317:R318</xm:sqref>
        </x14:conditionalFormatting>
        <x14:conditionalFormatting xmlns:xm="http://schemas.microsoft.com/office/excel/2006/main">
          <x14:cfRule type="expression" priority="432" id="{6DA27C86-B27D-4C6F-9451-AE0FAFDCEA7C}">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33" id="{B21470F6-267B-47EF-A0BD-CD7A137F3A0F}">
            <xm:f>IF(Text!$AS$25=-1,TRUE,FALSE)</xm:f>
            <x14:dxf>
              <font>
                <color rgb="FFFF0000"/>
              </font>
            </x14:dxf>
          </x14:cfRule>
          <x14:cfRule type="expression" priority="434" id="{C01364CA-AA00-4002-9425-5C654FA632F3}">
            <xm:f>IF(Text!$AS$25=1,TRUE,FALSE)</xm:f>
            <x14:dxf>
              <font>
                <color theme="9" tint="-0.24994659260841701"/>
              </font>
            </x14:dxf>
          </x14:cfRule>
          <x14:cfRule type="expression" priority="435" id="{68E76D1E-8D0B-4961-9671-DC48EDC2AAC5}">
            <xm:f>IF(Text!$AS$25=2,TRUE,FALSE)</xm:f>
            <x14:dxf>
              <font>
                <b/>
                <i val="0"/>
                <strike/>
                <color theme="9" tint="-0.24994659260841701"/>
              </font>
            </x14:dxf>
          </x14:cfRule>
          <xm:sqref>O323</xm:sqref>
        </x14:conditionalFormatting>
        <x14:conditionalFormatting xmlns:xm="http://schemas.microsoft.com/office/excel/2006/main">
          <x14:cfRule type="expression" priority="436" id="{5DD83F2B-CB78-4552-B5F7-1AB5B71DA942}">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37" id="{8A236398-F18D-4C4D-B236-EA9F881CB9EA}">
            <xm:f>IF(Text!$AV$25=-1,TRUE,FALSE)</xm:f>
            <x14:dxf>
              <font>
                <color rgb="FFFF0000"/>
              </font>
            </x14:dxf>
          </x14:cfRule>
          <x14:cfRule type="expression" priority="438" id="{E6FB670A-59EE-44D5-B253-5E97B90F950D}">
            <xm:f>IF(Text!$AV$25=1,TRUE,FALSE)</xm:f>
            <x14:dxf>
              <font>
                <color theme="9" tint="-0.24994659260841701"/>
              </font>
            </x14:dxf>
          </x14:cfRule>
          <x14:cfRule type="expression" priority="439" id="{FD81E1A2-FFBA-4895-889E-A4A94F4C2705}">
            <xm:f>IF(Text!$AV$25=2,TRUE,FALSE)</xm:f>
            <x14:dxf>
              <font>
                <b/>
                <i val="0"/>
                <strike/>
                <color theme="9" tint="-0.24994659260841701"/>
              </font>
            </x14:dxf>
          </x14:cfRule>
          <xm:sqref>R323</xm:sqref>
        </x14:conditionalFormatting>
        <x14:conditionalFormatting xmlns:xm="http://schemas.microsoft.com/office/excel/2006/main">
          <x14:cfRule type="expression" priority="440" id="{983BC06E-1DBD-4196-9C8C-75599EC90B38}">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441" id="{ABC125E1-D885-41BA-836D-C261392B2B52}">
            <xm:f>IF(Text!$AV$24=-1,TRUE,FALSE)</xm:f>
            <x14:dxf>
              <font>
                <color rgb="FFFF0000"/>
              </font>
            </x14:dxf>
          </x14:cfRule>
          <x14:cfRule type="expression" priority="442" id="{844CB2C0-73A3-48B0-95B7-A616F41F6CCB}">
            <xm:f>IF(Text!$AV$24=1,TRUE,FALSE)</xm:f>
            <x14:dxf>
              <font>
                <color theme="9" tint="-0.24994659260841701"/>
              </font>
            </x14:dxf>
          </x14:cfRule>
          <x14:cfRule type="expression" priority="443" id="{E10B69F7-6B18-4845-8139-9A5FB39BA399}">
            <xm:f>IF(Text!$AV$24=2,TRUE,FALSE)</xm:f>
            <x14:dxf>
              <font>
                <b/>
                <i val="0"/>
                <strike/>
                <color theme="9" tint="-0.24994659260841701"/>
              </font>
            </x14:dxf>
          </x14:cfRule>
          <xm:sqref>R322</xm:sqref>
        </x14:conditionalFormatting>
        <x14:conditionalFormatting xmlns:xm="http://schemas.microsoft.com/office/excel/2006/main">
          <x14:cfRule type="expression" priority="420" id="{5BCDEB0E-1EBA-4E0A-AA9A-0DDA841BF0CC}">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21" id="{A2DCB9F8-5F85-42A9-8D47-10605934043D}">
            <xm:f>IF(Text!$AS$25=-1,TRUE,FALSE)</xm:f>
            <x14:dxf>
              <font>
                <color rgb="FFFF0000"/>
              </font>
            </x14:dxf>
          </x14:cfRule>
          <x14:cfRule type="expression" priority="422" id="{369EE6AB-2FE5-4CCC-B316-811DF74D9501}">
            <xm:f>IF(Text!$AS$25=1,TRUE,FALSE)</xm:f>
            <x14:dxf>
              <font>
                <color theme="9" tint="-0.24994659260841701"/>
              </font>
            </x14:dxf>
          </x14:cfRule>
          <x14:cfRule type="expression" priority="423" id="{CE9BCF9B-CCC6-4AAF-9630-6AF85FC42844}">
            <xm:f>IF(Text!$AS$25=2,TRUE,FALSE)</xm:f>
            <x14:dxf>
              <font>
                <b/>
                <i val="0"/>
                <strike/>
                <color theme="9" tint="-0.24994659260841701"/>
              </font>
            </x14:dxf>
          </x14:cfRule>
          <xm:sqref>O334</xm:sqref>
        </x14:conditionalFormatting>
        <x14:conditionalFormatting xmlns:xm="http://schemas.microsoft.com/office/excel/2006/main">
          <x14:cfRule type="expression" priority="424" id="{BEF1C559-5232-4C4B-8886-8EEEDCBA51B4}">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25" id="{52359C0B-C47B-4357-B27D-22FC05155865}">
            <xm:f>IF(Text!$AV$25=-1,TRUE,FALSE)</xm:f>
            <x14:dxf>
              <font>
                <color rgb="FFFF0000"/>
              </font>
            </x14:dxf>
          </x14:cfRule>
          <x14:cfRule type="expression" priority="426" id="{CC93F27A-5AD0-4DED-9B88-970766952360}">
            <xm:f>IF(Text!$AV$25=1,TRUE,FALSE)</xm:f>
            <x14:dxf>
              <font>
                <color theme="9" tint="-0.24994659260841701"/>
              </font>
            </x14:dxf>
          </x14:cfRule>
          <x14:cfRule type="expression" priority="427" id="{BC435477-E770-4462-980C-B73F260CB8EA}">
            <xm:f>IF(Text!$AV$25=2,TRUE,FALSE)</xm:f>
            <x14:dxf>
              <font>
                <b/>
                <i val="0"/>
                <strike/>
                <color theme="9" tint="-0.24994659260841701"/>
              </font>
            </x14:dxf>
          </x14:cfRule>
          <xm:sqref>R334</xm:sqref>
        </x14:conditionalFormatting>
        <x14:conditionalFormatting xmlns:xm="http://schemas.microsoft.com/office/excel/2006/main">
          <x14:cfRule type="expression" priority="428" id="{86E823A5-3498-4360-A7F6-B5C0375FA320}">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429" id="{AA440670-20EC-42A4-9726-23DA8437379F}">
            <xm:f>IF(Text!$AV$24=-1,TRUE,FALSE)</xm:f>
            <x14:dxf>
              <font>
                <color rgb="FFFF0000"/>
              </font>
            </x14:dxf>
          </x14:cfRule>
          <x14:cfRule type="expression" priority="430" id="{B174CA1C-7DC0-4B44-BDE6-CD9114F6B975}">
            <xm:f>IF(Text!$AV$24=1,TRUE,FALSE)</xm:f>
            <x14:dxf>
              <font>
                <color theme="9" tint="-0.24994659260841701"/>
              </font>
            </x14:dxf>
          </x14:cfRule>
          <x14:cfRule type="expression" priority="431" id="{71069FD7-1B29-4722-88DF-9CB538B576AD}">
            <xm:f>IF(Text!$AV$24=2,TRUE,FALSE)</xm:f>
            <x14:dxf>
              <font>
                <b/>
                <i val="0"/>
                <strike/>
                <color theme="9" tint="-0.24994659260841701"/>
              </font>
            </x14:dxf>
          </x14:cfRule>
          <xm:sqref>R332:R333</xm:sqref>
        </x14:conditionalFormatting>
        <x14:conditionalFormatting xmlns:xm="http://schemas.microsoft.com/office/excel/2006/main">
          <x14:cfRule type="expression" priority="408" id="{72A550A5-6F50-449C-814D-F512A2C2EEF5}">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09" id="{3BC85C04-96ED-4449-999E-3B9F5A728AAC}">
            <xm:f>IF(Text!$AS$25=-1,TRUE,FALSE)</xm:f>
            <x14:dxf>
              <font>
                <color rgb="FFFF0000"/>
              </font>
            </x14:dxf>
          </x14:cfRule>
          <x14:cfRule type="expression" priority="410" id="{B72AE4DD-3226-4605-929D-B350724E256A}">
            <xm:f>IF(Text!$AS$25=1,TRUE,FALSE)</xm:f>
            <x14:dxf>
              <font>
                <color theme="9" tint="-0.24994659260841701"/>
              </font>
            </x14:dxf>
          </x14:cfRule>
          <x14:cfRule type="expression" priority="411" id="{612D8386-E722-4DB7-8473-F9D4D84F0BD8}">
            <xm:f>IF(Text!$AS$25=2,TRUE,FALSE)</xm:f>
            <x14:dxf>
              <font>
                <b/>
                <i val="0"/>
                <strike/>
                <color theme="9" tint="-0.24994659260841701"/>
              </font>
            </x14:dxf>
          </x14:cfRule>
          <xm:sqref>O338</xm:sqref>
        </x14:conditionalFormatting>
        <x14:conditionalFormatting xmlns:xm="http://schemas.microsoft.com/office/excel/2006/main">
          <x14:cfRule type="expression" priority="412" id="{32936577-7694-4A79-BD91-A7E931845124}">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13" id="{8E30B489-0118-44AE-9306-952C190CE6D7}">
            <xm:f>IF(Text!$AV$25=-1,TRUE,FALSE)</xm:f>
            <x14:dxf>
              <font>
                <color rgb="FFFF0000"/>
              </font>
            </x14:dxf>
          </x14:cfRule>
          <x14:cfRule type="expression" priority="414" id="{42101692-0640-4DB3-99B4-D2D10F21E722}">
            <xm:f>IF(Text!$AV$25=1,TRUE,FALSE)</xm:f>
            <x14:dxf>
              <font>
                <color theme="9" tint="-0.24994659260841701"/>
              </font>
            </x14:dxf>
          </x14:cfRule>
          <x14:cfRule type="expression" priority="415" id="{002C9908-ECEC-4F2F-9BE3-905E7D588F30}">
            <xm:f>IF(Text!$AV$25=2,TRUE,FALSE)</xm:f>
            <x14:dxf>
              <font>
                <b/>
                <i val="0"/>
                <strike/>
                <color theme="9" tint="-0.24994659260841701"/>
              </font>
            </x14:dxf>
          </x14:cfRule>
          <xm:sqref>R338</xm:sqref>
        </x14:conditionalFormatting>
        <x14:conditionalFormatting xmlns:xm="http://schemas.microsoft.com/office/excel/2006/main">
          <x14:cfRule type="expression" priority="416" id="{D33BDE5B-F690-49EA-A242-A3751CECF437}">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417" id="{7BB25DB5-2D20-41DA-A4BB-AF073861B788}">
            <xm:f>IF(Text!$AV$24=-1,TRUE,FALSE)</xm:f>
            <x14:dxf>
              <font>
                <color rgb="FFFF0000"/>
              </font>
            </x14:dxf>
          </x14:cfRule>
          <x14:cfRule type="expression" priority="418" id="{4581AF9D-AD2A-4960-8967-3049A67F1E12}">
            <xm:f>IF(Text!$AV$24=1,TRUE,FALSE)</xm:f>
            <x14:dxf>
              <font>
                <color theme="9" tint="-0.24994659260841701"/>
              </font>
            </x14:dxf>
          </x14:cfRule>
          <x14:cfRule type="expression" priority="419" id="{F658D1ED-ACDF-4C3E-AB8B-490E8B217CDF}">
            <xm:f>IF(Text!$AV$24=2,TRUE,FALSE)</xm:f>
            <x14:dxf>
              <font>
                <b/>
                <i val="0"/>
                <strike/>
                <color theme="9" tint="-0.24994659260841701"/>
              </font>
            </x14:dxf>
          </x14:cfRule>
          <xm:sqref>R337</xm:sqref>
        </x14:conditionalFormatting>
        <x14:conditionalFormatting xmlns:xm="http://schemas.microsoft.com/office/excel/2006/main">
          <x14:cfRule type="expression" priority="396" id="{CCBC31FF-772E-44B0-B7D0-280C1A1B5032}">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397" id="{46EA1793-9A9E-42B4-BB9A-4AAA63A3378C}">
            <xm:f>IF(Text!$AS$25=-1,TRUE,FALSE)</xm:f>
            <x14:dxf>
              <font>
                <color rgb="FFFF0000"/>
              </font>
            </x14:dxf>
          </x14:cfRule>
          <x14:cfRule type="expression" priority="398" id="{30B422B5-8F5E-4D56-908A-97E816061599}">
            <xm:f>IF(Text!$AS$25=1,TRUE,FALSE)</xm:f>
            <x14:dxf>
              <font>
                <color theme="9" tint="-0.24994659260841701"/>
              </font>
            </x14:dxf>
          </x14:cfRule>
          <x14:cfRule type="expression" priority="399" id="{29A6FA5D-2F3C-44FA-8E35-B4FA52A61AD6}">
            <xm:f>IF(Text!$AS$25=2,TRUE,FALSE)</xm:f>
            <x14:dxf>
              <font>
                <b/>
                <i val="0"/>
                <strike/>
                <color theme="9" tint="-0.24994659260841701"/>
              </font>
            </x14:dxf>
          </x14:cfRule>
          <xm:sqref>O349</xm:sqref>
        </x14:conditionalFormatting>
        <x14:conditionalFormatting xmlns:xm="http://schemas.microsoft.com/office/excel/2006/main">
          <x14:cfRule type="expression" priority="400" id="{24749E74-43C6-4B09-A837-C716A7E3ABAD}">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01" id="{045B0E26-B5AA-498D-9B02-22C3C106A9F2}">
            <xm:f>IF(Text!$AV$25=-1,TRUE,FALSE)</xm:f>
            <x14:dxf>
              <font>
                <color rgb="FFFF0000"/>
              </font>
            </x14:dxf>
          </x14:cfRule>
          <x14:cfRule type="expression" priority="402" id="{B93024B2-3F8C-4A38-B47C-1B2FEAE6BC97}">
            <xm:f>IF(Text!$AV$25=1,TRUE,FALSE)</xm:f>
            <x14:dxf>
              <font>
                <color theme="9" tint="-0.24994659260841701"/>
              </font>
            </x14:dxf>
          </x14:cfRule>
          <x14:cfRule type="expression" priority="403" id="{71B2C6E4-71A0-4B45-8427-9ED37247DCDD}">
            <xm:f>IF(Text!$AV$25=2,TRUE,FALSE)</xm:f>
            <x14:dxf>
              <font>
                <b/>
                <i val="0"/>
                <strike/>
                <color theme="9" tint="-0.24994659260841701"/>
              </font>
            </x14:dxf>
          </x14:cfRule>
          <xm:sqref>R349</xm:sqref>
        </x14:conditionalFormatting>
        <x14:conditionalFormatting xmlns:xm="http://schemas.microsoft.com/office/excel/2006/main">
          <x14:cfRule type="expression" priority="404" id="{ABEBD178-1F5C-4341-A477-FCBCF87C61D6}">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405" id="{8D5F4673-250A-406F-AB25-C72F15E0779A}">
            <xm:f>IF(Text!$AV$24=-1,TRUE,FALSE)</xm:f>
            <x14:dxf>
              <font>
                <color rgb="FFFF0000"/>
              </font>
            </x14:dxf>
          </x14:cfRule>
          <x14:cfRule type="expression" priority="406" id="{A8F652E0-F953-4B5D-A7B3-E882FF185A66}">
            <xm:f>IF(Text!$AV$24=1,TRUE,FALSE)</xm:f>
            <x14:dxf>
              <font>
                <color theme="9" tint="-0.24994659260841701"/>
              </font>
            </x14:dxf>
          </x14:cfRule>
          <x14:cfRule type="expression" priority="407" id="{8E7DF4CB-09BC-444F-B6B4-7AA7150D1E3A}">
            <xm:f>IF(Text!$AV$24=2,TRUE,FALSE)</xm:f>
            <x14:dxf>
              <font>
                <b/>
                <i val="0"/>
                <strike/>
                <color theme="9" tint="-0.24994659260841701"/>
              </font>
            </x14:dxf>
          </x14:cfRule>
          <xm:sqref>R348</xm:sqref>
        </x14:conditionalFormatting>
        <x14:conditionalFormatting xmlns:xm="http://schemas.microsoft.com/office/excel/2006/main">
          <x14:cfRule type="expression" priority="539" id="{4EEDEB37-7F6E-45E5-958E-BE40203D7A19}">
            <xm:f>IF(OR(Tool!$H$18="Klima-Check",Tool!$H$18="Check Climat",Tool!$H$18="Check Clima"),TRUE,FALSE)</xm:f>
            <x14:dxf>
              <fill>
                <patternFill>
                  <bgColor rgb="FFF0F0F0"/>
                </patternFill>
              </fill>
            </x14:dxf>
          </x14:cfRule>
          <x14:cfRule type="expression" priority="541" id="{5AA650D8-C665-495F-962A-95D8738589ED}">
            <xm:f>IF(Text!$AS$23=-1,TRUE,FALSE)</xm:f>
            <x14:dxf>
              <font>
                <color rgb="FFFF0000"/>
              </font>
            </x14:dxf>
          </x14:cfRule>
          <x14:cfRule type="expression" priority="542" id="{5A18E3F2-CC79-4CE8-BA03-745B79787FD1}">
            <xm:f>IF(Text!$AS$23=1,TRUE,FALSE)</xm:f>
            <x14:dxf>
              <font>
                <color theme="9" tint="-0.24994659260841701"/>
              </font>
            </x14:dxf>
          </x14:cfRule>
          <x14:cfRule type="expression" priority="543" id="{FB45B6A4-EF41-40EB-A014-DE7B9D7DA75A}">
            <xm:f>IF(Text!$AS$23=2,TRUE,FALSE)</xm:f>
            <x14:dxf>
              <font>
                <b/>
                <i val="0"/>
                <strike/>
                <color theme="9" tint="-0.24994659260841701"/>
              </font>
            </x14:dxf>
          </x14:cfRule>
          <xm:sqref>H293</xm:sqref>
        </x14:conditionalFormatting>
        <x14:conditionalFormatting xmlns:xm="http://schemas.microsoft.com/office/excel/2006/main">
          <x14:cfRule type="expression" priority="544" id="{F55A08D6-1441-47DD-BFA6-32EAAE9B8583}">
            <xm:f>IF(OR(Tool!$H$18="Klima-Check",Tool!$H$18="Check Climat",Tool!$H$18="Check Clima"),TRUE,FALSE)</xm:f>
            <x14:dxf>
              <fill>
                <patternFill>
                  <bgColor rgb="FFF0F0F0"/>
                </patternFill>
              </fill>
            </x14:dxf>
          </x14:cfRule>
          <x14:cfRule type="expression" priority="546" id="{EEBA37A5-E73C-4E23-A1A6-18DE0FE22306}">
            <xm:f>IF(Text!$AS$25=-1,TRUE,FALSE)</xm:f>
            <x14:dxf>
              <font>
                <color rgb="FFFF0000"/>
              </font>
            </x14:dxf>
          </x14:cfRule>
          <x14:cfRule type="expression" priority="547" id="{FBC53D0E-E4F7-462D-8AF6-EBA368375E7E}">
            <xm:f>IF(Text!$AS$25=1,TRUE,FALSE)</xm:f>
            <x14:dxf>
              <font>
                <color theme="9" tint="-0.24994659260841701"/>
              </font>
            </x14:dxf>
          </x14:cfRule>
          <x14:cfRule type="expression" priority="548" id="{79EE7CBA-CFB0-461C-ABB0-1911189AE7C5}">
            <xm:f>IF(Text!$AS$25=2,TRUE,FALSE)</xm:f>
            <x14:dxf>
              <font>
                <b/>
                <i val="0"/>
                <strike/>
                <color theme="9" tint="-0.24994659260841701"/>
              </font>
            </x14:dxf>
          </x14:cfRule>
          <xm:sqref>H295</xm:sqref>
        </x14:conditionalFormatting>
        <x14:conditionalFormatting xmlns:xm="http://schemas.microsoft.com/office/excel/2006/main">
          <x14:cfRule type="expression" priority="549" id="{2D710110-598B-4035-8EEB-269F2C551A4C}">
            <xm:f>IF(OR(Tool!$H$18="Klima-Check",Tool!$H$18="Check Climat",Tool!$H$18="Check Clima"),TRUE,FALSE)</xm:f>
            <x14:dxf>
              <fill>
                <patternFill>
                  <bgColor rgb="FFF0F0F0"/>
                </patternFill>
              </fill>
            </x14:dxf>
          </x14:cfRule>
          <x14:cfRule type="expression" priority="551" id="{EEF4C42C-9346-44EE-A6D9-9869EA99597F}">
            <xm:f>IF(Text!$AS$26=-1,TRUE,FALSE)</xm:f>
            <x14:dxf>
              <font>
                <color rgb="FFFF0000"/>
              </font>
            </x14:dxf>
          </x14:cfRule>
          <x14:cfRule type="expression" priority="552" id="{3D9FF125-8BF0-4A76-A5AB-4245396CEB9D}">
            <xm:f>IF(Text!$AS$26=1,TRUE,FALSE)</xm:f>
            <x14:dxf>
              <font>
                <color theme="9" tint="-0.24994659260841701"/>
              </font>
            </x14:dxf>
          </x14:cfRule>
          <x14:cfRule type="expression" priority="553" id="{85EFBDD5-83AE-46F1-92A2-D7DBA6DD8F72}">
            <xm:f>IF(Text!$AS$26=2,TRUE,FALSE)</xm:f>
            <x14:dxf>
              <font>
                <b/>
                <i val="0"/>
                <strike/>
                <color theme="9" tint="-0.24994659260841701"/>
              </font>
            </x14:dxf>
          </x14:cfRule>
          <xm:sqref>H297</xm:sqref>
        </x14:conditionalFormatting>
        <x14:conditionalFormatting xmlns:xm="http://schemas.microsoft.com/office/excel/2006/main">
          <x14:cfRule type="expression" priority="554" id="{EFF59BC4-B899-4D20-A13F-6A8DDAACAF60}">
            <xm:f>IF(OR(Tool!$H$18="Klima-Check",Tool!$H$18="Check Climat",Tool!$H$18="Check Clima"),TRUE,FALSE)</xm:f>
            <x14:dxf>
              <fill>
                <patternFill>
                  <bgColor rgb="FFF0F0F0"/>
                </patternFill>
              </fill>
            </x14:dxf>
          </x14:cfRule>
          <x14:cfRule type="expression" priority="556" id="{59001F72-54FF-4BA2-B352-57874C591A57}">
            <xm:f>IF(Text!$AS$27=-1,TRUE,FALSE)</xm:f>
            <x14:dxf>
              <font>
                <color rgb="FFFF0000"/>
              </font>
            </x14:dxf>
          </x14:cfRule>
          <x14:cfRule type="expression" priority="557" id="{15972002-49DC-47C2-A734-235DF1786FF4}">
            <xm:f>IF(Text!$AS$27=1,TRUE,FALSE)</xm:f>
            <x14:dxf>
              <font>
                <color theme="9" tint="-0.24994659260841701"/>
              </font>
            </x14:dxf>
          </x14:cfRule>
          <x14:cfRule type="expression" priority="558" id="{E094A273-B1DF-4E5D-A221-B10FCD312734}">
            <xm:f>IF(Text!$AS$27=2,TRUE,FALSE)</xm:f>
            <x14:dxf>
              <font>
                <b/>
                <i val="0"/>
                <strike/>
                <color theme="9" tint="-0.24994659260841701"/>
              </font>
            </x14:dxf>
          </x14:cfRule>
          <xm:sqref>H298</xm:sqref>
        </x14:conditionalFormatting>
        <x14:conditionalFormatting xmlns:xm="http://schemas.microsoft.com/office/excel/2006/main">
          <x14:cfRule type="expression" priority="564" id="{4921DE6E-935A-4611-A99F-C43EFCDA3D81}">
            <xm:f>IF(OR(Tool!$H$18="Klima-Check",Tool!$H$18="Check Climat",Tool!$H$18="Check Clima"),TRUE,FALSE)</xm:f>
            <x14:dxf>
              <fill>
                <patternFill>
                  <bgColor rgb="FFF0F0F0"/>
                </patternFill>
              </fill>
            </x14:dxf>
          </x14:cfRule>
          <x14:cfRule type="expression" priority="566" id="{324DD710-2C6C-4E73-B8CF-CE816F5E1A7D}">
            <xm:f>IF(Text!$AS$29=-1,TRUE,FALSE)</xm:f>
            <x14:dxf>
              <font>
                <color rgb="FFFF0000"/>
              </font>
            </x14:dxf>
          </x14:cfRule>
          <x14:cfRule type="expression" priority="567" id="{03D9FB5D-7307-4F99-AE0D-8DFA72899BE3}">
            <xm:f>IF(Text!$AS$29=1,TRUE,FALSE)</xm:f>
            <x14:dxf>
              <font>
                <color theme="9" tint="-0.24994659260841701"/>
              </font>
            </x14:dxf>
          </x14:cfRule>
          <x14:cfRule type="expression" priority="568" id="{5015DAFB-CC26-4094-83E8-5B21CDC3F113}">
            <xm:f>IF(Text!$AS$29=2,TRUE,FALSE)</xm:f>
            <x14:dxf>
              <font>
                <b/>
                <i val="0"/>
                <strike/>
                <color theme="9" tint="-0.24994659260841701"/>
              </font>
            </x14:dxf>
          </x14:cfRule>
          <xm:sqref>H302</xm:sqref>
        </x14:conditionalFormatting>
        <x14:conditionalFormatting xmlns:xm="http://schemas.microsoft.com/office/excel/2006/main">
          <x14:cfRule type="expression" priority="569" id="{34D2934B-8720-452F-AE66-A3B76FF2020D}">
            <xm:f>IF(OR(Tool!$H$18="Klima-Check",Tool!$H$18="Check Climat",Tool!$H$18="Check Clima"),TRUE,FALSE)</xm:f>
            <x14:dxf>
              <fill>
                <patternFill>
                  <bgColor rgb="FFF0F0F0"/>
                </patternFill>
              </fill>
            </x14:dxf>
          </x14:cfRule>
          <x14:cfRule type="expression" priority="571" id="{5145EF61-E664-47E7-9BF3-52C60C9F1BF7}">
            <xm:f>IF(Text!$AS$30=-1,TRUE,FALSE)</xm:f>
            <x14:dxf>
              <font>
                <color rgb="FFFF0000"/>
              </font>
            </x14:dxf>
          </x14:cfRule>
          <x14:cfRule type="expression" priority="572" id="{C58E3EF5-30C9-4012-9438-8FEC18A5ADB4}">
            <xm:f>IF(Text!$AS$30=1,TRUE,FALSE)</xm:f>
            <x14:dxf>
              <font>
                <color theme="9" tint="-0.24994659260841701"/>
              </font>
            </x14:dxf>
          </x14:cfRule>
          <x14:cfRule type="expression" priority="573" id="{A44D6629-F97B-4450-A45E-4EE6A02C5E0D}">
            <xm:f>IF(Text!$AS$30=2,TRUE,FALSE)</xm:f>
            <x14:dxf>
              <font>
                <b/>
                <i val="0"/>
                <strike/>
                <color theme="9" tint="-0.24994659260841701"/>
              </font>
            </x14:dxf>
          </x14:cfRule>
          <xm:sqref>H305</xm:sqref>
        </x14:conditionalFormatting>
        <x14:conditionalFormatting xmlns:xm="http://schemas.microsoft.com/office/excel/2006/main">
          <x14:cfRule type="expression" priority="574" id="{8F7E8F7E-2F6D-4A43-AFE1-0389618031C9}">
            <xm:f>IF(OR(Tool!$H$18="Klima-Check",Tool!$H$18="Check Climat",Tool!$H$18="Check Clima"),TRUE,FALSE)</xm:f>
            <x14:dxf>
              <fill>
                <patternFill>
                  <bgColor rgb="FFF0F0F0"/>
                </patternFill>
              </fill>
            </x14:dxf>
          </x14:cfRule>
          <x14:cfRule type="expression" priority="576" id="{3F7760E3-65E0-4CD1-8C58-3D3AB017B602}">
            <xm:f>IF(Text!$AS$31=-1,TRUE,FALSE)</xm:f>
            <x14:dxf>
              <font>
                <color rgb="FFFF0000"/>
              </font>
            </x14:dxf>
          </x14:cfRule>
          <x14:cfRule type="expression" priority="577" id="{DB76D9C0-CE8D-4867-91D5-B7DB47DA66EB}">
            <xm:f>IF(Text!$AS$31=1,TRUE,FALSE)</xm:f>
            <x14:dxf>
              <font>
                <color theme="9" tint="-0.24994659260841701"/>
              </font>
            </x14:dxf>
          </x14:cfRule>
          <x14:cfRule type="expression" priority="578" id="{F7C2A1A5-599A-4946-BDF4-432225711B01}">
            <xm:f>IF(Text!$AS$31=2,TRUE,FALSE)</xm:f>
            <x14:dxf>
              <font>
                <b/>
                <i val="0"/>
                <strike/>
                <color theme="9" tint="-0.24994659260841701"/>
              </font>
            </x14:dxf>
          </x14:cfRule>
          <xm:sqref>H306</xm:sqref>
        </x14:conditionalFormatting>
        <x14:conditionalFormatting xmlns:xm="http://schemas.microsoft.com/office/excel/2006/main">
          <x14:cfRule type="expression" priority="579" id="{94C19CD2-7A13-41B2-85A0-F4423A5C1489}">
            <xm:f>IF(OR(Tool!$H$18="Klima-Check",Tool!$H$18="Check Climat",Tool!$H$18="Check Clima"),TRUE,FALSE)</xm:f>
            <x14:dxf>
              <fill>
                <patternFill>
                  <bgColor rgb="FFF0F0F0"/>
                </patternFill>
              </fill>
            </x14:dxf>
          </x14:cfRule>
          <x14:cfRule type="expression" priority="581" id="{A8D34F41-7F2F-46BF-9C71-FCDA34814202}">
            <xm:f>IF(Text!$AS$32=-1,TRUE,FALSE)</xm:f>
            <x14:dxf>
              <font>
                <color rgb="FFFF0000"/>
              </font>
            </x14:dxf>
          </x14:cfRule>
          <x14:cfRule type="expression" priority="582" id="{BB5F71DB-D98C-487B-8D4E-EE7F1972551F}">
            <xm:f>IF(Text!$AS$32=1,TRUE,FALSE)</xm:f>
            <x14:dxf>
              <font>
                <color theme="9" tint="-0.24994659260841701"/>
              </font>
            </x14:dxf>
          </x14:cfRule>
          <x14:cfRule type="expression" priority="583" id="{265FA9F6-8579-43CB-951A-1F918087EB57}">
            <xm:f>IF(Text!$AS$32=2,TRUE,FALSE)</xm:f>
            <x14:dxf>
              <font>
                <b/>
                <i val="0"/>
                <strike/>
                <color theme="9" tint="-0.24994659260841701"/>
              </font>
            </x14:dxf>
          </x14:cfRule>
          <xm:sqref>H307</xm:sqref>
        </x14:conditionalFormatting>
        <x14:conditionalFormatting xmlns:xm="http://schemas.microsoft.com/office/excel/2006/main">
          <x14:cfRule type="expression" priority="584" id="{2CFC37F1-0944-46E5-85E3-0E06CEE37C94}">
            <xm:f>IF(OR(Tool!$H$18="Klima-Check",Tool!$H$18="Check Climat",Tool!$H$18="Check Clima"),TRUE,FALSE)</xm:f>
            <x14:dxf>
              <fill>
                <patternFill>
                  <bgColor rgb="FFF0F0F0"/>
                </patternFill>
              </fill>
            </x14:dxf>
          </x14:cfRule>
          <x14:cfRule type="expression" priority="586" id="{139FF37E-B26B-4E11-B04B-E562B2090C02}">
            <xm:f>IF(Text!$AS$33=-1,TRUE,FALSE)</xm:f>
            <x14:dxf>
              <font>
                <color rgb="FFFF0000"/>
              </font>
            </x14:dxf>
          </x14:cfRule>
          <x14:cfRule type="expression" priority="587" id="{DA9783A2-F693-411A-A6D0-57633E8FEE4B}">
            <xm:f>IF(Text!$AS$33=1,TRUE,FALSE)</xm:f>
            <x14:dxf>
              <font>
                <color theme="9" tint="-0.24994659260841701"/>
              </font>
            </x14:dxf>
          </x14:cfRule>
          <x14:cfRule type="expression" priority="588" id="{014322D4-2D03-49F9-9034-8605F5DCF3CF}">
            <xm:f>IF(Text!$AS$33=2,TRUE,FALSE)</xm:f>
            <x14:dxf>
              <font>
                <b/>
                <i val="0"/>
                <strike/>
                <color theme="9" tint="-0.24994659260841701"/>
              </font>
            </x14:dxf>
          </x14:cfRule>
          <xm:sqref>H308</xm:sqref>
        </x14:conditionalFormatting>
        <x14:conditionalFormatting xmlns:xm="http://schemas.microsoft.com/office/excel/2006/main">
          <x14:cfRule type="expression" priority="589" id="{E8224A1D-C3FE-4D23-8AA7-CC741B0B855F}">
            <xm:f>IF(OR(Tool!$H$18="Klima-Check",Tool!$H$18="Check Climat",Tool!$H$18="Check Clima"),TRUE,FALSE)</xm:f>
            <x14:dxf>
              <fill>
                <patternFill>
                  <bgColor rgb="FFF0F0F0"/>
                </patternFill>
              </fill>
            </x14:dxf>
          </x14:cfRule>
          <x14:cfRule type="expression" priority="591" id="{747E2751-AE96-40AF-991C-7486755B68E0}">
            <xm:f>IF(Text!$AS$34=-1,TRUE,FALSE)</xm:f>
            <x14:dxf>
              <font>
                <color rgb="FFFF0000"/>
              </font>
            </x14:dxf>
          </x14:cfRule>
          <x14:cfRule type="expression" priority="592" id="{C3C0FD1A-9E49-464E-8166-2E36997D305B}">
            <xm:f>IF(Text!$AS$34=1,TRUE,FALSE)</xm:f>
            <x14:dxf>
              <font>
                <color theme="9" tint="-0.24994659260841701"/>
              </font>
            </x14:dxf>
          </x14:cfRule>
          <x14:cfRule type="expression" priority="593" id="{ED12B63F-FD60-4F97-9638-856BF0757988}">
            <xm:f>IF(Text!$AS$34=2,TRUE,FALSE)</xm:f>
            <x14:dxf>
              <font>
                <b/>
                <i val="0"/>
                <strike/>
                <color theme="9" tint="-0.24994659260841701"/>
              </font>
            </x14:dxf>
          </x14:cfRule>
          <xm:sqref>H309</xm:sqref>
        </x14:conditionalFormatting>
        <x14:conditionalFormatting xmlns:xm="http://schemas.microsoft.com/office/excel/2006/main">
          <x14:cfRule type="expression" priority="594" id="{113CD029-25B9-407A-8392-3851A74453A0}">
            <xm:f>IF(OR(Tool!$H$18="Klima-Check",Tool!$H$18="Check Climat",Tool!$H$18="Check Clima"),TRUE,FALSE)</xm:f>
            <x14:dxf>
              <fill>
                <patternFill>
                  <bgColor rgb="FFF0F0F0"/>
                </patternFill>
              </fill>
            </x14:dxf>
          </x14:cfRule>
          <x14:cfRule type="expression" priority="596" id="{C0DA7F8E-CB12-463F-8B2D-14B4AA762747}">
            <xm:f>IF(Text!$AS$35=-1,TRUE,FALSE)</xm:f>
            <x14:dxf>
              <font>
                <color rgb="FFFF0000"/>
              </font>
            </x14:dxf>
          </x14:cfRule>
          <x14:cfRule type="expression" priority="597" id="{9A26746A-C189-4382-8F0A-FE2B56BBD580}">
            <xm:f>IF(Text!$AS$35=1,TRUE,FALSE)</xm:f>
            <x14:dxf>
              <font>
                <color theme="9" tint="-0.24994659260841701"/>
              </font>
            </x14:dxf>
          </x14:cfRule>
          <x14:cfRule type="expression" priority="598" id="{56275C8C-ED8B-444E-9B80-EC4685F4D1C3}">
            <xm:f>IF(Text!$AS$35=2,TRUE,FALSE)</xm:f>
            <x14:dxf>
              <font>
                <b/>
                <i val="0"/>
                <strike/>
                <color theme="9" tint="-0.24994659260841701"/>
              </font>
            </x14:dxf>
          </x14:cfRule>
          <xm:sqref>H310</xm:sqref>
        </x14:conditionalFormatting>
        <x14:conditionalFormatting xmlns:xm="http://schemas.microsoft.com/office/excel/2006/main">
          <x14:cfRule type="expression" priority="599" id="{191FC793-3E25-4634-97B2-8B8DFFC406FB}">
            <xm:f>IF(OR(Tool!$H$18="Klima-Check",Tool!$H$18="Check Climat",Tool!$H$18="Check Clima"),TRUE,FALSE)</xm:f>
            <x14:dxf>
              <fill>
                <patternFill>
                  <bgColor rgb="FFF0F0F0"/>
                </patternFill>
              </fill>
            </x14:dxf>
          </x14:cfRule>
          <x14:cfRule type="expression" priority="601" id="{6B6F321F-D687-4DB9-B288-8716C67C62AE}">
            <xm:f>IF(Text!$AS$36=-1,TRUE,FALSE)</xm:f>
            <x14:dxf>
              <font>
                <color rgb="FFFF0000"/>
              </font>
            </x14:dxf>
          </x14:cfRule>
          <x14:cfRule type="expression" priority="602" id="{5DDF69C9-C1FB-4484-97C3-2351D7602EEB}">
            <xm:f>IF(Text!$AS$36=1,TRUE,FALSE)</xm:f>
            <x14:dxf>
              <font>
                <color theme="9" tint="-0.24994659260841701"/>
              </font>
            </x14:dxf>
          </x14:cfRule>
          <x14:cfRule type="expression" priority="603" id="{2E56A91D-ABBC-4769-A976-FFF0CE274AE7}">
            <xm:f>IF(Text!$AS$36=2,TRUE,FALSE)</xm:f>
            <x14:dxf>
              <font>
                <b/>
                <i val="0"/>
                <strike/>
                <color theme="9" tint="-0.24994659260841701"/>
              </font>
            </x14:dxf>
          </x14:cfRule>
          <xm:sqref>H311</xm:sqref>
        </x14:conditionalFormatting>
        <x14:conditionalFormatting xmlns:xm="http://schemas.microsoft.com/office/excel/2006/main">
          <x14:cfRule type="expression" priority="645" id="{DD828D2C-76D4-4A8F-8A54-2DBF85660669}">
            <xm:f>IF(OR(Tool!$H$18="Klima-Check",Tool!$H$18="Check Climat",Tool!$H$18="Check Clima"),TRUE,FALSE)</xm:f>
            <x14:dxf>
              <fill>
                <patternFill>
                  <bgColor rgb="FFF0F0F0"/>
                </patternFill>
              </fill>
            </x14:dxf>
          </x14:cfRule>
          <x14:cfRule type="expression" priority="647" id="{B4E106EE-2C2D-44CA-A466-4D1FFCC701E6}">
            <xm:f>IF(Text!$AS$38=-1,TRUE,FALSE)</xm:f>
            <x14:dxf>
              <font>
                <color rgb="FFFF0000"/>
              </font>
            </x14:dxf>
          </x14:cfRule>
          <x14:cfRule type="expression" priority="648" id="{880B013B-EA56-4B1D-9825-FFB5996CA52F}">
            <xm:f>IF(Text!$AS$38=1,TRUE,FALSE)</xm:f>
            <x14:dxf>
              <font>
                <color theme="9" tint="-0.24994659260841701"/>
              </font>
            </x14:dxf>
          </x14:cfRule>
          <x14:cfRule type="expression" priority="649" id="{0AC7A1D0-79AD-44F2-8CAC-5E92B6C318AA}">
            <xm:f>IF(Text!$AS$38=2,TRUE,FALSE)</xm:f>
            <x14:dxf>
              <font>
                <b/>
                <i val="0"/>
                <strike/>
                <color theme="9" tint="-0.24994659260841701"/>
              </font>
            </x14:dxf>
          </x14:cfRule>
          <xm:sqref>H317</xm:sqref>
        </x14:conditionalFormatting>
        <x14:conditionalFormatting xmlns:xm="http://schemas.microsoft.com/office/excel/2006/main">
          <x14:cfRule type="expression" priority="650" id="{11B1BF66-8469-4998-BFD5-6845D515EDB8}">
            <xm:f>IF(OR(Tool!$H$18="Klima-Check",Tool!$H$18="Check Climat",Tool!$H$18="Check Clima"),TRUE,FALSE)</xm:f>
            <x14:dxf>
              <fill>
                <patternFill>
                  <bgColor rgb="FFF0F0F0"/>
                </patternFill>
              </fill>
            </x14:dxf>
          </x14:cfRule>
          <x14:cfRule type="expression" priority="652" id="{65A5B017-9973-4F7F-92A8-296A094AF2EA}">
            <xm:f>IF(Text!$AS$39=-1,TRUE,FALSE)</xm:f>
            <x14:dxf>
              <font>
                <color rgb="FFFF0000"/>
              </font>
            </x14:dxf>
          </x14:cfRule>
          <x14:cfRule type="expression" priority="653" id="{A16E3C58-735D-4B65-9D90-229340F9443C}">
            <xm:f>IF(Text!$AS$39=1,TRUE,FALSE)</xm:f>
            <x14:dxf>
              <font>
                <color theme="9" tint="-0.24994659260841701"/>
              </font>
            </x14:dxf>
          </x14:cfRule>
          <x14:cfRule type="expression" priority="654" id="{3B2F3A2C-A9D1-489C-9EBA-71055606FC5C}">
            <xm:f>IF(Text!$AS$39=2,TRUE,FALSE)</xm:f>
            <x14:dxf>
              <font>
                <b/>
                <i val="0"/>
                <strike/>
                <color theme="9" tint="-0.24994659260841701"/>
              </font>
            </x14:dxf>
          </x14:cfRule>
          <xm:sqref>H318</xm:sqref>
        </x14:conditionalFormatting>
        <x14:conditionalFormatting xmlns:xm="http://schemas.microsoft.com/office/excel/2006/main">
          <x14:cfRule type="expression" priority="655" id="{CFD0FBBD-AF53-4BAE-BC86-C61D9E84E1B8}">
            <xm:f>IF(OR(Tool!$H$18="Klima-Check",Tool!$H$18="Check Climat",Tool!$H$18="Check Clima"),TRUE,FALSE)</xm:f>
            <x14:dxf>
              <fill>
                <patternFill>
                  <bgColor rgb="FFF0F0F0"/>
                </patternFill>
              </fill>
            </x14:dxf>
          </x14:cfRule>
          <x14:cfRule type="expression" priority="657" id="{7CC55375-F79C-4CCA-9BFE-2BDE1C7370CC}">
            <xm:f>IF(Text!$AS$40=-1,TRUE,FALSE)</xm:f>
            <x14:dxf>
              <font>
                <color rgb="FFFF0000"/>
              </font>
            </x14:dxf>
          </x14:cfRule>
          <x14:cfRule type="expression" priority="658" id="{6BA9B666-87CF-412D-B78F-81D08ED0D298}">
            <xm:f>IF(Text!$AS$40=1,TRUE,FALSE)</xm:f>
            <x14:dxf>
              <font>
                <color theme="9" tint="-0.24994659260841701"/>
              </font>
            </x14:dxf>
          </x14:cfRule>
          <x14:cfRule type="expression" priority="659" id="{F198D11E-A7DA-47F2-BC2B-5705ABD58E49}">
            <xm:f>IF(Text!$AS$40=2,TRUE,FALSE)</xm:f>
            <x14:dxf>
              <font>
                <b/>
                <i val="0"/>
                <strike/>
                <color theme="9" tint="-0.24994659260841701"/>
              </font>
            </x14:dxf>
          </x14:cfRule>
          <xm:sqref>H319</xm:sqref>
        </x14:conditionalFormatting>
        <x14:conditionalFormatting xmlns:xm="http://schemas.microsoft.com/office/excel/2006/main">
          <x14:cfRule type="expression" priority="660" id="{F6CF01AB-E878-4B27-9855-109CB0E62A1C}">
            <xm:f>IF(OR(Tool!$H$18="Klima-Check",Tool!$H$18="Check Climat",Tool!$H$18="Check Clima"),TRUE,FALSE)</xm:f>
            <x14:dxf>
              <fill>
                <patternFill>
                  <bgColor rgb="FFF0F0F0"/>
                </patternFill>
              </fill>
            </x14:dxf>
          </x14:cfRule>
          <x14:cfRule type="expression" priority="662" id="{E6223DD3-B73C-480B-8727-D5A17674207C}">
            <xm:f>IF(Text!$AS$41=-1,TRUE,FALSE)</xm:f>
            <x14:dxf>
              <font>
                <color rgb="FFFF0000"/>
              </font>
            </x14:dxf>
          </x14:cfRule>
          <x14:cfRule type="expression" priority="663" id="{18637232-F174-4108-A639-C07D46EC87D4}">
            <xm:f>IF(Text!$AS$41=1,TRUE,FALSE)</xm:f>
            <x14:dxf>
              <font>
                <color theme="9" tint="-0.24994659260841701"/>
              </font>
            </x14:dxf>
          </x14:cfRule>
          <x14:cfRule type="expression" priority="664" id="{BBBF4AA5-2E37-4BA4-BAAC-9AFCA3939AA5}">
            <xm:f>IF(Text!$AS$41=2,TRUE,FALSE)</xm:f>
            <x14:dxf>
              <font>
                <b/>
                <i val="0"/>
                <strike/>
                <color theme="9" tint="-0.24994659260841701"/>
              </font>
            </x14:dxf>
          </x14:cfRule>
          <xm:sqref>H321</xm:sqref>
        </x14:conditionalFormatting>
        <x14:conditionalFormatting xmlns:xm="http://schemas.microsoft.com/office/excel/2006/main">
          <x14:cfRule type="expression" priority="665" id="{DF0906CC-7326-459A-BB87-9E8C944823CF}">
            <xm:f>IF(OR(Tool!$H$18="Klima-Check",Tool!$H$18="Check Climat",Tool!$H$18="Check Clima"),TRUE,FALSE)</xm:f>
            <x14:dxf>
              <fill>
                <patternFill>
                  <bgColor rgb="FFF0F0F0"/>
                </patternFill>
              </fill>
            </x14:dxf>
          </x14:cfRule>
          <x14:cfRule type="expression" priority="667" id="{0E630E89-F671-45D2-A71E-70EEF5F5896C}">
            <xm:f>IF(Text!$AS$42=-1,TRUE,FALSE)</xm:f>
            <x14:dxf>
              <font>
                <color rgb="FFFF0000"/>
              </font>
            </x14:dxf>
          </x14:cfRule>
          <x14:cfRule type="expression" priority="668" id="{6C824AE6-49A8-4115-B959-ECED23C40784}">
            <xm:f>IF(Text!$AS$42=1,TRUE,FALSE)</xm:f>
            <x14:dxf>
              <font>
                <color theme="9" tint="-0.24994659260841701"/>
              </font>
            </x14:dxf>
          </x14:cfRule>
          <x14:cfRule type="expression" priority="669" id="{85806C6F-D81E-4DCB-A4A7-34C9F55D39B0}">
            <xm:f>IF(Text!$AS$42=2,TRUE,FALSE)</xm:f>
            <x14:dxf>
              <font>
                <b/>
                <i val="0"/>
                <strike/>
                <color theme="9" tint="-0.24994659260841701"/>
              </font>
            </x14:dxf>
          </x14:cfRule>
          <xm:sqref>H322</xm:sqref>
        </x14:conditionalFormatting>
        <x14:conditionalFormatting xmlns:xm="http://schemas.microsoft.com/office/excel/2006/main">
          <x14:cfRule type="expression" priority="670" id="{9FCDACA0-493C-4D73-A793-6B6E250BF5BF}">
            <xm:f>IF(OR(Tool!$H$18="Klima-Check",Tool!$H$18="Check Climat",Tool!$H$18="Check Clima"),TRUE,FALSE)</xm:f>
            <x14:dxf>
              <fill>
                <patternFill>
                  <bgColor rgb="FFF0F0F0"/>
                </patternFill>
              </fill>
            </x14:dxf>
          </x14:cfRule>
          <x14:cfRule type="expression" priority="672" id="{BFF740A1-B5A1-49CD-88DA-7058CFD3308B}">
            <xm:f>IF(Text!$AS$43=-1,TRUE,FALSE)</xm:f>
            <x14:dxf>
              <font>
                <color rgb="FFFF0000"/>
              </font>
            </x14:dxf>
          </x14:cfRule>
          <x14:cfRule type="expression" priority="673" id="{820C7563-BF35-42B3-833F-3AE0B24E2897}">
            <xm:f>IF(Text!$AS$43=1,TRUE,FALSE)</xm:f>
            <x14:dxf>
              <font>
                <color theme="9" tint="-0.24994659260841701"/>
              </font>
            </x14:dxf>
          </x14:cfRule>
          <x14:cfRule type="expression" priority="674" id="{6C62D6FA-5391-4320-B393-DC94C7746811}">
            <xm:f>IF(Text!$AS$43=2,TRUE,FALSE)</xm:f>
            <x14:dxf>
              <font>
                <b/>
                <i val="0"/>
                <strike/>
                <color theme="9" tint="-0.24994659260841701"/>
              </font>
            </x14:dxf>
          </x14:cfRule>
          <xm:sqref>H323</xm:sqref>
        </x14:conditionalFormatting>
        <x14:conditionalFormatting xmlns:xm="http://schemas.microsoft.com/office/excel/2006/main">
          <x14:cfRule type="expression" priority="675" id="{E3F3ECF5-0A9C-4C84-A61B-47F1D60433B6}">
            <xm:f>IF(OR(Tool!$H$18="Klima-Check",Tool!$H$18="Check Climat",Tool!$H$18="Check Clima"),TRUE,FALSE)</xm:f>
            <x14:dxf>
              <fill>
                <patternFill>
                  <bgColor rgb="FFF0F0F0"/>
                </patternFill>
              </fill>
            </x14:dxf>
          </x14:cfRule>
          <x14:cfRule type="expression" priority="677" id="{C5765731-53DB-45E0-A4D4-EB8C95A6E55D}">
            <xm:f>IF(Text!$AS$44=-1,TRUE,FALSE)</xm:f>
            <x14:dxf>
              <font>
                <color rgb="FFFF0000"/>
              </font>
            </x14:dxf>
          </x14:cfRule>
          <x14:cfRule type="expression" priority="678" id="{39FB06D9-CC46-46CF-A583-4665F55AD174}">
            <xm:f>IF(Text!$AS$44=1,TRUE,FALSE)</xm:f>
            <x14:dxf>
              <font>
                <color theme="9" tint="-0.24994659260841701"/>
              </font>
            </x14:dxf>
          </x14:cfRule>
          <x14:cfRule type="expression" priority="679" id="{28B904D1-B05F-4CB8-9C02-9656FFBDF9F2}">
            <xm:f>IF(Text!$AS$44=2,TRUE,FALSE)</xm:f>
            <x14:dxf>
              <font>
                <b/>
                <i val="0"/>
                <strike/>
                <color theme="9" tint="-0.24994659260841701"/>
              </font>
            </x14:dxf>
          </x14:cfRule>
          <xm:sqref>H325</xm:sqref>
        </x14:conditionalFormatting>
        <x14:conditionalFormatting xmlns:xm="http://schemas.microsoft.com/office/excel/2006/main">
          <x14:cfRule type="expression" priority="680" id="{8B7375A7-6C02-4F32-81F8-AD22475DF6C8}">
            <xm:f>IF(OR(Tool!$H$18="Klima-Check",Tool!$H$18="Check Climat",Tool!$H$18="Check Clima"),TRUE,FALSE)</xm:f>
            <x14:dxf>
              <fill>
                <patternFill>
                  <bgColor rgb="FFF0F0F0"/>
                </patternFill>
              </fill>
            </x14:dxf>
          </x14:cfRule>
          <x14:cfRule type="expression" priority="682" id="{1EAF112B-B575-4701-B0F4-117D1B2B001F}">
            <xm:f>IF(Text!$AS$46=-1,TRUE,FALSE)</xm:f>
            <x14:dxf>
              <font>
                <color rgb="FFFF0000"/>
              </font>
            </x14:dxf>
          </x14:cfRule>
          <x14:cfRule type="expression" priority="683" id="{B04EFBED-DCB2-4FB4-81F3-5F2338FEA7E5}">
            <xm:f>IF(Text!$AS$46=1,TRUE,FALSE)</xm:f>
            <x14:dxf>
              <font>
                <color theme="9" tint="-0.24994659260841701"/>
              </font>
            </x14:dxf>
          </x14:cfRule>
          <x14:cfRule type="expression" priority="684" id="{95E6F09D-28C3-4942-BFCD-526821CB6519}">
            <xm:f>IF(Text!$AS$46=2,TRUE,FALSE)</xm:f>
            <x14:dxf>
              <font>
                <b/>
                <i val="0"/>
                <strike/>
                <color theme="9" tint="-0.24994659260841701"/>
              </font>
            </x14:dxf>
          </x14:cfRule>
          <xm:sqref>H332</xm:sqref>
        </x14:conditionalFormatting>
        <x14:conditionalFormatting xmlns:xm="http://schemas.microsoft.com/office/excel/2006/main">
          <x14:cfRule type="expression" priority="685" id="{1ED0C279-2684-473F-A9CC-57EC33EC5A76}">
            <xm:f>IF(OR(Tool!$H$18="Klima-Check",Tool!$H$18="Check Climat",Tool!$H$18="Check Clima"),TRUE,FALSE)</xm:f>
            <x14:dxf>
              <fill>
                <patternFill>
                  <bgColor rgb="FFF0F0F0"/>
                </patternFill>
              </fill>
            </x14:dxf>
          </x14:cfRule>
          <x14:cfRule type="expression" priority="687" id="{9ACB97D1-9DCC-45B2-8758-0E05EF5C0F42}">
            <xm:f>IF(Text!$AS$47=-1,TRUE,FALSE)</xm:f>
            <x14:dxf>
              <font>
                <color rgb="FFFF0000"/>
              </font>
            </x14:dxf>
          </x14:cfRule>
          <x14:cfRule type="expression" priority="688" id="{C5D4ED08-5F40-43CF-B0B7-B73BE4F3EECD}">
            <xm:f>IF(Text!$AS$47=1,TRUE,FALSE)</xm:f>
            <x14:dxf>
              <font>
                <color theme="9" tint="-0.24994659260841701"/>
              </font>
            </x14:dxf>
          </x14:cfRule>
          <x14:cfRule type="expression" priority="689" id="{899725AA-B0CA-4E02-B460-0C967DEDDEED}">
            <xm:f>IF(Text!$AS$47=2,TRUE,FALSE)</xm:f>
            <x14:dxf>
              <font>
                <b/>
                <i val="0"/>
                <strike/>
                <color theme="9" tint="-0.24994659260841701"/>
              </font>
            </x14:dxf>
          </x14:cfRule>
          <xm:sqref>H333</xm:sqref>
        </x14:conditionalFormatting>
        <x14:conditionalFormatting xmlns:xm="http://schemas.microsoft.com/office/excel/2006/main">
          <x14:cfRule type="expression" priority="690" id="{A990BC7E-32FC-4191-9CDF-4A3E9014FDE3}">
            <xm:f>IF(OR(Tool!$H$18="Klima-Check",Tool!$H$18="Check Climat",Tool!$H$18="Check Clima"),TRUE,FALSE)</xm:f>
            <x14:dxf>
              <fill>
                <patternFill>
                  <bgColor rgb="FFF0F0F0"/>
                </patternFill>
              </fill>
            </x14:dxf>
          </x14:cfRule>
          <x14:cfRule type="expression" priority="692" id="{C28C8CB0-1AB6-4991-958D-29FE883B4DD6}">
            <xm:f>IF(Text!$AS$48=-1,TRUE,FALSE)</xm:f>
            <x14:dxf>
              <font>
                <color rgb="FFFF0000"/>
              </font>
            </x14:dxf>
          </x14:cfRule>
          <x14:cfRule type="expression" priority="693" id="{4969D7B4-9231-4918-BFD3-BFB3289A0632}">
            <xm:f>IF(Text!$AS$48=1,TRUE,FALSE)</xm:f>
            <x14:dxf>
              <font>
                <color theme="9" tint="-0.24994659260841701"/>
              </font>
            </x14:dxf>
          </x14:cfRule>
          <x14:cfRule type="expression" priority="694" id="{62E69A1A-64A9-419F-AED8-00A93B9BFFD5}">
            <xm:f>IF(Text!$AS$48=2,TRUE,FALSE)</xm:f>
            <x14:dxf>
              <font>
                <b/>
                <i val="0"/>
                <strike/>
                <color theme="9" tint="-0.24994659260841701"/>
              </font>
            </x14:dxf>
          </x14:cfRule>
          <xm:sqref>H334</xm:sqref>
        </x14:conditionalFormatting>
        <x14:conditionalFormatting xmlns:xm="http://schemas.microsoft.com/office/excel/2006/main">
          <x14:cfRule type="expression" priority="695" id="{21EB0E57-B11A-44D0-8E8B-2BE34DC45C72}">
            <xm:f>IF(OR(Tool!$H$18="Klima-Check",Tool!$H$18="Check Climat",Tool!$H$18="Check Clima"),TRUE,FALSE)</xm:f>
            <x14:dxf>
              <fill>
                <patternFill>
                  <bgColor rgb="FFF0F0F0"/>
                </patternFill>
              </fill>
            </x14:dxf>
          </x14:cfRule>
          <x14:cfRule type="expression" priority="697" id="{410B8CDB-8F18-4735-AEBF-DCB23FECE76D}">
            <xm:f>IF(Text!$AS$49=-1,TRUE,FALSE)</xm:f>
            <x14:dxf>
              <font>
                <color rgb="FFFF0000"/>
              </font>
            </x14:dxf>
          </x14:cfRule>
          <x14:cfRule type="expression" priority="698" id="{70218042-9A70-4C7E-88B4-4327189BC366}">
            <xm:f>IF(Text!$AS$49=1,TRUE,FALSE)</xm:f>
            <x14:dxf>
              <font>
                <color theme="9" tint="-0.24994659260841701"/>
              </font>
            </x14:dxf>
          </x14:cfRule>
          <x14:cfRule type="expression" priority="699" id="{D1605E08-7D4A-4778-905C-797FEED346C2}">
            <xm:f>IF(Text!$AS$49=2,TRUE,FALSE)</xm:f>
            <x14:dxf>
              <font>
                <b/>
                <i val="0"/>
                <strike/>
                <color theme="9" tint="-0.24994659260841701"/>
              </font>
            </x14:dxf>
          </x14:cfRule>
          <xm:sqref>H336</xm:sqref>
        </x14:conditionalFormatting>
        <x14:conditionalFormatting xmlns:xm="http://schemas.microsoft.com/office/excel/2006/main">
          <x14:cfRule type="expression" priority="700" id="{F16D91A1-04FC-4DA0-ADC3-B1EA127CACCF}">
            <xm:f>IF(OR(Tool!$H$18="Klima-Check",Tool!$H$18="Check Climat",Tool!$H$18="Check Clima"),TRUE,FALSE)</xm:f>
            <x14:dxf>
              <fill>
                <patternFill>
                  <bgColor rgb="FFF0F0F0"/>
                </patternFill>
              </fill>
            </x14:dxf>
          </x14:cfRule>
          <x14:cfRule type="expression" priority="702" id="{1157FE9F-FFFA-4D84-9E8D-EF9F64BD41CF}">
            <xm:f>IF(Text!$AS$50=-1,TRUE,FALSE)</xm:f>
            <x14:dxf>
              <font>
                <color rgb="FFFF0000"/>
              </font>
            </x14:dxf>
          </x14:cfRule>
          <x14:cfRule type="expression" priority="703" id="{051383D1-EFB6-40A5-9C4F-CE4951AD975F}">
            <xm:f>IF(Text!$AS$50=1,TRUE,FALSE)</xm:f>
            <x14:dxf>
              <font>
                <color theme="9" tint="-0.24994659260841701"/>
              </font>
            </x14:dxf>
          </x14:cfRule>
          <x14:cfRule type="expression" priority="704" id="{BFFDBF13-33D9-4EC3-B7D9-9C708ECBE835}">
            <xm:f>IF(Text!$AS$50=2,TRUE,FALSE)</xm:f>
            <x14:dxf>
              <font>
                <b/>
                <i val="0"/>
                <strike/>
                <color theme="9" tint="-0.24994659260841701"/>
              </font>
            </x14:dxf>
          </x14:cfRule>
          <xm:sqref>H337</xm:sqref>
        </x14:conditionalFormatting>
        <x14:conditionalFormatting xmlns:xm="http://schemas.microsoft.com/office/excel/2006/main">
          <x14:cfRule type="expression" priority="705" id="{C43AC045-925F-4DBE-AC70-EEA54226E99E}">
            <xm:f>IF(OR(Tool!$H$18="Klima-Check",Tool!$H$18="Check Climat",Tool!$H$18="Check Clima"),TRUE,FALSE)</xm:f>
            <x14:dxf>
              <fill>
                <patternFill>
                  <bgColor rgb="FFF0F0F0"/>
                </patternFill>
              </fill>
            </x14:dxf>
          </x14:cfRule>
          <x14:cfRule type="expression" priority="707" id="{EE3D1B96-BFC5-4262-A7B6-D187610B01D6}">
            <xm:f>IF(Text!$AS$51=-1,TRUE,FALSE)</xm:f>
            <x14:dxf>
              <font>
                <color rgb="FFFF0000"/>
              </font>
            </x14:dxf>
          </x14:cfRule>
          <x14:cfRule type="expression" priority="708" id="{DC31AC98-4C71-4B64-931A-AE2F36B476D3}">
            <xm:f>IF(Text!$AS$51=1,TRUE,FALSE)</xm:f>
            <x14:dxf>
              <font>
                <color theme="9" tint="-0.24994659260841701"/>
              </font>
            </x14:dxf>
          </x14:cfRule>
          <x14:cfRule type="expression" priority="709" id="{36FF4CB5-0D8F-431B-9A62-26A4A8DF5F56}">
            <xm:f>IF(Text!$AS$51=2,TRUE,FALSE)</xm:f>
            <x14:dxf>
              <font>
                <b/>
                <i val="0"/>
                <strike/>
                <color theme="9" tint="-0.24994659260841701"/>
              </font>
            </x14:dxf>
          </x14:cfRule>
          <xm:sqref>H340</xm:sqref>
        </x14:conditionalFormatting>
        <x14:conditionalFormatting xmlns:xm="http://schemas.microsoft.com/office/excel/2006/main">
          <x14:cfRule type="expression" priority="710" id="{21D981C0-1322-458B-B989-C07038166D85}">
            <xm:f>IF(OR(Tool!$H$18="Klima-Check",Tool!$H$18="Check Climat",Tool!$H$18="Check Clima"),TRUE,FALSE)</xm:f>
            <x14:dxf>
              <fill>
                <patternFill>
                  <bgColor rgb="FFF0F0F0"/>
                </patternFill>
              </fill>
            </x14:dxf>
          </x14:cfRule>
          <x14:cfRule type="expression" priority="712" id="{68FC4F35-184F-402F-A1D9-F5F500E543C7}">
            <xm:f>IF(Text!$AS$52=-1,TRUE,FALSE)</xm:f>
            <x14:dxf>
              <font>
                <color rgb="FFFF0000"/>
              </font>
            </x14:dxf>
          </x14:cfRule>
          <x14:cfRule type="expression" priority="713" id="{280DA594-337B-4195-9088-9529C671907C}">
            <xm:f>IF(Text!$AS$52=1,TRUE,FALSE)</xm:f>
            <x14:dxf>
              <font>
                <color theme="9" tint="-0.24994659260841701"/>
              </font>
            </x14:dxf>
          </x14:cfRule>
          <x14:cfRule type="expression" priority="714" id="{D6572582-613D-426E-9CBC-A1B8454C54E3}">
            <xm:f>IF(Text!$AS$52=2,TRUE,FALSE)</xm:f>
            <x14:dxf>
              <font>
                <b/>
                <i val="0"/>
                <strike/>
                <color theme="9" tint="-0.24994659260841701"/>
              </font>
            </x14:dxf>
          </x14:cfRule>
          <xm:sqref>H341</xm:sqref>
        </x14:conditionalFormatting>
        <x14:conditionalFormatting xmlns:xm="http://schemas.microsoft.com/office/excel/2006/main">
          <x14:cfRule type="expression" priority="715" id="{44923ECC-D5FA-4691-93CE-917376A6B6C8}">
            <xm:f>IF(OR(Tool!$H$18="Klima-Check",Tool!$H$18="Check Climat",Tool!$H$18="Check Clima"),TRUE,FALSE)</xm:f>
            <x14:dxf>
              <fill>
                <patternFill>
                  <bgColor rgb="FFF0F0F0"/>
                </patternFill>
              </fill>
            </x14:dxf>
          </x14:cfRule>
          <x14:cfRule type="expression" priority="717" id="{4F685800-4197-43E8-AB3E-E8991E88BF9D}">
            <xm:f>IF(Text!$AS$53=-1,TRUE,FALSE)</xm:f>
            <x14:dxf>
              <font>
                <color rgb="FFFF0000"/>
              </font>
            </x14:dxf>
          </x14:cfRule>
          <x14:cfRule type="expression" priority="718" id="{BAA5A43C-3483-495C-B993-FABF74CDED6D}">
            <xm:f>IF(Text!$AS$53=1,TRUE,FALSE)</xm:f>
            <x14:dxf>
              <font>
                <color theme="9" tint="-0.24994659260841701"/>
              </font>
            </x14:dxf>
          </x14:cfRule>
          <x14:cfRule type="expression" priority="719" id="{66A0B733-7C1C-47B6-A5FC-22E8D397875B}">
            <xm:f>IF(Text!$AS$53=2,TRUE,FALSE)</xm:f>
            <x14:dxf>
              <font>
                <b/>
                <i val="0"/>
                <strike/>
                <color theme="9" tint="-0.24994659260841701"/>
              </font>
            </x14:dxf>
          </x14:cfRule>
          <xm:sqref>H342</xm:sqref>
        </x14:conditionalFormatting>
        <x14:conditionalFormatting xmlns:xm="http://schemas.microsoft.com/office/excel/2006/main">
          <x14:cfRule type="expression" priority="720" id="{A54C309D-CD24-40A7-91A7-8EE9BDF3EDB1}">
            <xm:f>IF(OR(Tool!$H$18="Klima-Check",Tool!$H$18="Check Climat",Tool!$H$18="Check Clima"),TRUE,FALSE)</xm:f>
            <x14:dxf>
              <fill>
                <patternFill>
                  <bgColor rgb="FFF0F0F0"/>
                </patternFill>
              </fill>
            </x14:dxf>
          </x14:cfRule>
          <x14:cfRule type="expression" priority="722" id="{FBEE66E5-1A8E-4794-96C2-8E71A00F930A}">
            <xm:f>IF(Text!$AS$54=-1,TRUE,FALSE)</xm:f>
            <x14:dxf>
              <font>
                <color rgb="FFFF0000"/>
              </font>
            </x14:dxf>
          </x14:cfRule>
          <x14:cfRule type="expression" priority="723" id="{77F8DD94-7BE8-409D-9E8B-0DAD389B557F}">
            <xm:f>IF(Text!$AS$54=1,TRUE,FALSE)</xm:f>
            <x14:dxf>
              <font>
                <color theme="9" tint="-0.24994659260841701"/>
              </font>
            </x14:dxf>
          </x14:cfRule>
          <x14:cfRule type="expression" priority="724" id="{362B6B3C-390C-4766-B0ED-DF05FD31AA09}">
            <xm:f>IF(Text!$AS$54=2,TRUE,FALSE)</xm:f>
            <x14:dxf>
              <font>
                <b/>
                <i val="0"/>
                <strike/>
                <color theme="9" tint="-0.24994659260841701"/>
              </font>
            </x14:dxf>
          </x14:cfRule>
          <xm:sqref>H343</xm:sqref>
        </x14:conditionalFormatting>
        <x14:conditionalFormatting xmlns:xm="http://schemas.microsoft.com/office/excel/2006/main">
          <x14:cfRule type="expression" priority="725" id="{E51FA141-1F9F-4C12-A6D2-0678546F1BFE}">
            <xm:f>IF(OR(Tool!$H$18="Klima-Check",Tool!$H$18="Check Climat",Tool!$H$18="Check Clima"),TRUE,FALSE)</xm:f>
            <x14:dxf>
              <fill>
                <patternFill>
                  <bgColor rgb="FFF0F0F0"/>
                </patternFill>
              </fill>
            </x14:dxf>
          </x14:cfRule>
          <x14:cfRule type="expression" priority="727" id="{D0CC4D6F-9FDF-4EEF-946F-30A00E6CF255}">
            <xm:f>IF(Text!$AS$55=-1,TRUE,FALSE)</xm:f>
            <x14:dxf>
              <font>
                <color rgb="FFFF0000"/>
              </font>
            </x14:dxf>
          </x14:cfRule>
          <x14:cfRule type="expression" priority="728" id="{E292F8B5-90A6-4E2D-B959-78D515246760}">
            <xm:f>IF(Text!$AS$55=1,TRUE,FALSE)</xm:f>
            <x14:dxf>
              <font>
                <color theme="9" tint="-0.24994659260841701"/>
              </font>
            </x14:dxf>
          </x14:cfRule>
          <x14:cfRule type="expression" priority="729" id="{D2AB585D-FA50-4BE5-AE54-AE030DFDF31D}">
            <xm:f>IF(Text!$AS$55=2,TRUE,FALSE)</xm:f>
            <x14:dxf>
              <font>
                <b/>
                <i val="0"/>
                <strike/>
                <color theme="9" tint="-0.24994659260841701"/>
              </font>
            </x14:dxf>
          </x14:cfRule>
          <xm:sqref>H344</xm:sqref>
        </x14:conditionalFormatting>
        <x14:conditionalFormatting xmlns:xm="http://schemas.microsoft.com/office/excel/2006/main">
          <x14:cfRule type="expression" priority="730" id="{225447BF-AAB3-427E-959C-AD2283AAC211}">
            <xm:f>IF(OR(Tool!$H$18="Klima-Check",Tool!$H$18="Check Climat",Tool!$H$18="Check Clima"),TRUE,FALSE)</xm:f>
            <x14:dxf>
              <fill>
                <patternFill>
                  <bgColor rgb="FFF0F0F0"/>
                </patternFill>
              </fill>
            </x14:dxf>
          </x14:cfRule>
          <x14:cfRule type="expression" priority="732" id="{3C97517C-E059-4F87-AE3B-7184DEF5DAB5}">
            <xm:f>IF(Text!$AS$56=-1,TRUE,FALSE)</xm:f>
            <x14:dxf>
              <font>
                <color rgb="FFFF0000"/>
              </font>
            </x14:dxf>
          </x14:cfRule>
          <x14:cfRule type="expression" priority="733" id="{9525A57A-39F3-4CE2-9148-76EF6FF76F0F}">
            <xm:f>IF(Text!$AS$56=1,TRUE,FALSE)</xm:f>
            <x14:dxf>
              <font>
                <color theme="9" tint="-0.24994659260841701"/>
              </font>
            </x14:dxf>
          </x14:cfRule>
          <x14:cfRule type="expression" priority="734" id="{FB51668D-08FC-432B-BFD1-7C41E5AED273}">
            <xm:f>IF(Text!$AS$56=2,TRUE,FALSE)</xm:f>
            <x14:dxf>
              <font>
                <b/>
                <i val="0"/>
                <strike/>
                <color theme="9" tint="-0.24994659260841701"/>
              </font>
            </x14:dxf>
          </x14:cfRule>
          <xm:sqref>H345</xm:sqref>
        </x14:conditionalFormatting>
        <x14:conditionalFormatting xmlns:xm="http://schemas.microsoft.com/office/excel/2006/main">
          <x14:cfRule type="expression" priority="735" id="{F7FDCB14-A571-4516-9023-3E2EB08B11D5}">
            <xm:f>IF(OR(Tool!$H$18="Klima-Check",Tool!$H$18="Check Climat",Tool!$H$18="Check Clima"),TRUE,FALSE)</xm:f>
            <x14:dxf>
              <fill>
                <patternFill>
                  <bgColor rgb="FFF0F0F0"/>
                </patternFill>
              </fill>
            </x14:dxf>
          </x14:cfRule>
          <x14:cfRule type="expression" priority="737" id="{AE1B37C3-E661-4715-9489-86AC64AC9BA6}">
            <xm:f>IF(Text!$AS$57=-1,TRUE,FALSE)</xm:f>
            <x14:dxf>
              <font>
                <color rgb="FFFF0000"/>
              </font>
            </x14:dxf>
          </x14:cfRule>
          <x14:cfRule type="expression" priority="738" id="{8EA728ED-9A28-4F44-ADA7-53E85E1B0CBE}">
            <xm:f>IF(Text!$AS$57=1,TRUE,FALSE)</xm:f>
            <x14:dxf>
              <font>
                <color theme="9" tint="-0.24994659260841701"/>
              </font>
            </x14:dxf>
          </x14:cfRule>
          <x14:cfRule type="expression" priority="739" id="{7130F27D-824D-47A2-B351-4415C8CF7B94}">
            <xm:f>IF(Text!$AS$57=2,TRUE,FALSE)</xm:f>
            <x14:dxf>
              <font>
                <b/>
                <i val="0"/>
                <strike/>
                <color theme="9" tint="-0.24994659260841701"/>
              </font>
            </x14:dxf>
          </x14:cfRule>
          <xm:sqref>H347</xm:sqref>
        </x14:conditionalFormatting>
        <x14:conditionalFormatting xmlns:xm="http://schemas.microsoft.com/office/excel/2006/main">
          <x14:cfRule type="expression" priority="740" id="{7A924DDF-2E70-462B-8DC0-E0EC3F59AC28}">
            <xm:f>IF(OR(Tool!$H$18="Klima-Check",Tool!$H$18="Check Climat",Tool!$H$18="Check Clima"),TRUE,FALSE)</xm:f>
            <x14:dxf>
              <fill>
                <patternFill>
                  <bgColor rgb="FFF0F0F0"/>
                </patternFill>
              </fill>
            </x14:dxf>
          </x14:cfRule>
          <x14:cfRule type="expression" priority="742" id="{857E3844-0FCD-4616-BBA9-F8890F05B95D}">
            <xm:f>IF(Text!$AS$58=-1,TRUE,FALSE)</xm:f>
            <x14:dxf>
              <font>
                <color rgb="FFFF0000"/>
              </font>
            </x14:dxf>
          </x14:cfRule>
          <x14:cfRule type="expression" priority="743" id="{ED33BF71-C04D-4901-9275-2E5508117FD7}">
            <xm:f>IF(Text!$AS$58=1,TRUE,FALSE)</xm:f>
            <x14:dxf>
              <font>
                <color theme="9" tint="-0.24994659260841701"/>
              </font>
            </x14:dxf>
          </x14:cfRule>
          <x14:cfRule type="expression" priority="744" id="{F47B35E1-C1C9-40D0-8602-CC67D4034676}">
            <xm:f>IF(Text!$AS$58=2,TRUE,FALSE)</xm:f>
            <x14:dxf>
              <font>
                <b/>
                <i val="0"/>
                <strike/>
                <color theme="9" tint="-0.24994659260841701"/>
              </font>
            </x14:dxf>
          </x14:cfRule>
          <xm:sqref>H348</xm:sqref>
        </x14:conditionalFormatting>
        <x14:conditionalFormatting xmlns:xm="http://schemas.microsoft.com/office/excel/2006/main">
          <x14:cfRule type="expression" priority="745" id="{EA3C27B8-5679-4AC2-9162-130E0D620972}">
            <xm:f>IF(OR(Tool!$H$18="Klima-Check",Tool!$H$18="Check Climat",Tool!$H$18="Check Clima"),TRUE,FALSE)</xm:f>
            <x14:dxf>
              <fill>
                <patternFill>
                  <bgColor rgb="FFF0F0F0"/>
                </patternFill>
              </fill>
            </x14:dxf>
          </x14:cfRule>
          <x14:cfRule type="expression" priority="747" id="{079532B9-C61D-4676-B1A3-9C0D6E1EDD7F}">
            <xm:f>IF(Text!$AS$59=-1,TRUE,FALSE)</xm:f>
            <x14:dxf>
              <font>
                <color rgb="FFFF0000"/>
              </font>
            </x14:dxf>
          </x14:cfRule>
          <x14:cfRule type="expression" priority="748" id="{27137EE7-A06B-4F63-B371-950315A63B17}">
            <xm:f>IF(Text!$AS$59=1,TRUE,FALSE)</xm:f>
            <x14:dxf>
              <font>
                <color theme="9" tint="-0.24994659260841701"/>
              </font>
            </x14:dxf>
          </x14:cfRule>
          <x14:cfRule type="expression" priority="749" id="{D9F758BB-39C7-43DC-9FAC-00D71520BE4D}">
            <xm:f>IF(Text!$AS$59=2,TRUE,FALSE)</xm:f>
            <x14:dxf>
              <font>
                <b/>
                <i val="0"/>
                <strike/>
                <color theme="9" tint="-0.24994659260841701"/>
              </font>
            </x14:dxf>
          </x14:cfRule>
          <xm:sqref>H349</xm:sqref>
        </x14:conditionalFormatting>
        <x14:conditionalFormatting xmlns:xm="http://schemas.microsoft.com/office/excel/2006/main">
          <x14:cfRule type="expression" priority="540" id="{8DC4EC72-A25B-4905-A635-F713A857F8CE}">
            <xm:f>IF(Text!$AS$23=-2,TRUE,FALSE)</xm:f>
            <x14:dxf>
              <font>
                <b/>
                <i val="0"/>
                <color rgb="FFFF0000"/>
              </font>
              <border>
                <left style="thin">
                  <color rgb="FFFF0000"/>
                </left>
                <right style="thin">
                  <color rgb="FFFF0000"/>
                </right>
                <top style="thin">
                  <color rgb="FFFF0000"/>
                </top>
                <bottom style="thin">
                  <color rgb="FFFF0000"/>
                </bottom>
              </border>
            </x14:dxf>
          </x14:cfRule>
          <xm:sqref>H293:K293</xm:sqref>
        </x14:conditionalFormatting>
        <x14:conditionalFormatting xmlns:xm="http://schemas.microsoft.com/office/excel/2006/main">
          <x14:cfRule type="expression" priority="534" id="{62691D37-D102-47CF-B946-68E4E7FC1F20}">
            <xm:f>IF(OR(Tool!$H$18="Klima-Check",Tool!$H$18="Check Climat",Tool!$H$18="Check Clima"),TRUE,FALSE)</xm:f>
            <x14:dxf>
              <fill>
                <patternFill>
                  <bgColor rgb="FFF0F0F0"/>
                </patternFill>
              </fill>
            </x14:dxf>
          </x14:cfRule>
          <x14:cfRule type="expression" priority="536" id="{76D15069-B6CB-44BC-A5B9-B9AA296DC337}">
            <xm:f>IF(Text!$AS$24=-1,TRUE,FALSE)</xm:f>
            <x14:dxf>
              <font>
                <color rgb="FFFF0000"/>
              </font>
            </x14:dxf>
          </x14:cfRule>
          <x14:cfRule type="expression" priority="537" id="{0CC11CAA-8DFA-4381-884F-1C54C3B480D6}">
            <xm:f>IF(Text!$AS$24=1,TRUE,FALSE)</xm:f>
            <x14:dxf>
              <font>
                <color theme="9" tint="-0.24994659260841701"/>
              </font>
            </x14:dxf>
          </x14:cfRule>
          <x14:cfRule type="expression" priority="538" id="{6A202365-B38C-45F3-955E-CD055F80C4FE}">
            <xm:f>IF(Text!$AS$24=2,TRUE,FALSE)</xm:f>
            <x14:dxf>
              <font>
                <b/>
                <i val="0"/>
                <strike/>
                <color theme="9" tint="-0.24994659260841701"/>
              </font>
            </x14:dxf>
          </x14:cfRule>
          <xm:sqref>H294</xm:sqref>
        </x14:conditionalFormatting>
        <x14:conditionalFormatting xmlns:xm="http://schemas.microsoft.com/office/excel/2006/main">
          <x14:cfRule type="expression" priority="535" id="{CCDBBAEC-6C46-45E8-AB6B-C0C32EEC6C25}">
            <xm:f>IF(Text!$AS$24=-2,TRUE,FALSE)</xm:f>
            <x14:dxf>
              <font>
                <b/>
                <i val="0"/>
                <color rgb="FFFF0000"/>
              </font>
              <border>
                <left style="thin">
                  <color rgb="FFFF0000"/>
                </left>
                <right style="thin">
                  <color rgb="FFFF0000"/>
                </right>
                <top style="thin">
                  <color rgb="FFFF0000"/>
                </top>
                <bottom style="thin">
                  <color rgb="FFFF0000"/>
                </bottom>
              </border>
            </x14:dxf>
          </x14:cfRule>
          <xm:sqref>H294:K294</xm:sqref>
        </x14:conditionalFormatting>
        <x14:conditionalFormatting xmlns:xm="http://schemas.microsoft.com/office/excel/2006/main">
          <x14:cfRule type="expression" priority="545" id="{D06FF911-3E71-4B4B-B73A-DCF0AAC04162}">
            <xm:f>IF(Text!$AS$25=-2,TRUE,FALSE)</xm:f>
            <x14:dxf>
              <font>
                <b/>
                <i val="0"/>
                <color rgb="FFFF0000"/>
              </font>
              <border>
                <left style="thin">
                  <color rgb="FFFF0000"/>
                </left>
                <right style="thin">
                  <color rgb="FFFF0000"/>
                </right>
                <top style="thin">
                  <color rgb="FFFF0000"/>
                </top>
                <bottom style="thin">
                  <color rgb="FFFF0000"/>
                </bottom>
              </border>
            </x14:dxf>
          </x14:cfRule>
          <xm:sqref>H295:K295</xm:sqref>
        </x14:conditionalFormatting>
        <x14:conditionalFormatting xmlns:xm="http://schemas.microsoft.com/office/excel/2006/main">
          <x14:cfRule type="expression" priority="550" id="{58612C5D-9F33-4981-BE35-08316D7FFC14}">
            <xm:f>IF(Text!$AS$26=-2,TRUE,FALSE)</xm:f>
            <x14:dxf>
              <font>
                <b/>
                <i val="0"/>
                <color rgb="FFFF0000"/>
              </font>
              <border>
                <left style="thin">
                  <color rgb="FFFF0000"/>
                </left>
                <right style="thin">
                  <color rgb="FFFF0000"/>
                </right>
                <top style="thin">
                  <color rgb="FFFF0000"/>
                </top>
                <bottom style="thin">
                  <color rgb="FFFF0000"/>
                </bottom>
              </border>
            </x14:dxf>
          </x14:cfRule>
          <xm:sqref>H297:K297</xm:sqref>
        </x14:conditionalFormatting>
        <x14:conditionalFormatting xmlns:xm="http://schemas.microsoft.com/office/excel/2006/main">
          <x14:cfRule type="expression" priority="555" id="{9710A031-B65C-498D-B430-F4E64E6BA69B}">
            <xm:f>IF(Text!$AS$27=-2,TRUE,FALSE)</xm:f>
            <x14:dxf>
              <font>
                <b/>
                <i val="0"/>
                <color rgb="FFFF0000"/>
              </font>
              <border>
                <left style="thin">
                  <color rgb="FFFF0000"/>
                </left>
                <right style="thin">
                  <color rgb="FFFF0000"/>
                </right>
                <top style="thin">
                  <color rgb="FFFF0000"/>
                </top>
                <bottom style="thin">
                  <color rgb="FFFF0000"/>
                </bottom>
              </border>
            </x14:dxf>
          </x14:cfRule>
          <xm:sqref>H298:K298</xm:sqref>
        </x14:conditionalFormatting>
        <x14:conditionalFormatting xmlns:xm="http://schemas.microsoft.com/office/excel/2006/main">
          <x14:cfRule type="expression" priority="559" id="{C0126FC7-31A5-4CF8-99D1-96815D7AB638}">
            <xm:f>IF(OR(Tool!$H$18="Klima-Check",Tool!$H$18="Check Climat",Tool!$H$18="Check Clima"),TRUE,FALSE)</xm:f>
            <x14:dxf>
              <fill>
                <patternFill>
                  <bgColor rgb="FFF0F0F0"/>
                </patternFill>
              </fill>
            </x14:dxf>
          </x14:cfRule>
          <x14:cfRule type="expression" priority="561" id="{72A6E511-C0D0-4E9A-B962-7E3303F92D55}">
            <xm:f>IF(Text!$AS$28=-1,TRUE,FALSE)</xm:f>
            <x14:dxf>
              <font>
                <color rgb="FFFF0000"/>
              </font>
            </x14:dxf>
          </x14:cfRule>
          <x14:cfRule type="expression" priority="562" id="{05B6008A-D9CB-4FA2-AD88-83C538F213A4}">
            <xm:f>IF(Text!$AS$28=1,TRUE,FALSE)</xm:f>
            <x14:dxf>
              <font>
                <color theme="9" tint="-0.24994659260841701"/>
              </font>
            </x14:dxf>
          </x14:cfRule>
          <x14:cfRule type="expression" priority="563" id="{299DBEEB-9415-4027-AF41-6BE5A7B8921A}">
            <xm:f>IF(Text!$AS$28=2,TRUE,FALSE)</xm:f>
            <x14:dxf>
              <font>
                <b/>
                <i val="0"/>
                <strike/>
                <color theme="9" tint="-0.24994659260841701"/>
              </font>
            </x14:dxf>
          </x14:cfRule>
          <xm:sqref>H301</xm:sqref>
        </x14:conditionalFormatting>
        <x14:conditionalFormatting xmlns:xm="http://schemas.microsoft.com/office/excel/2006/main">
          <x14:cfRule type="expression" priority="560" id="{AB98AF59-6ED6-4E0B-8ABB-C1454EED78B2}">
            <xm:f>IF(Text!$AS$28=-2,TRUE,FALSE)</xm:f>
            <x14:dxf>
              <font>
                <b/>
                <i val="0"/>
                <color rgb="FFFF0000"/>
              </font>
              <border>
                <left style="thin">
                  <color rgb="FFFF0000"/>
                </left>
                <right style="thin">
                  <color rgb="FFFF0000"/>
                </right>
                <top style="thin">
                  <color rgb="FFFF0000"/>
                </top>
                <bottom style="thin">
                  <color rgb="FFFF0000"/>
                </bottom>
              </border>
            </x14:dxf>
          </x14:cfRule>
          <xm:sqref>H301:K301</xm:sqref>
        </x14:conditionalFormatting>
        <x14:conditionalFormatting xmlns:xm="http://schemas.microsoft.com/office/excel/2006/main">
          <x14:cfRule type="expression" priority="565" id="{1A5146E1-B0DD-4E43-8E50-D93397B30E07}">
            <xm:f>IF(Text!$AS$29=-2,TRUE,FALSE)</xm:f>
            <x14:dxf>
              <font>
                <b/>
                <i val="0"/>
                <color rgb="FFFF0000"/>
              </font>
              <border>
                <left style="thin">
                  <color rgb="FFFF0000"/>
                </left>
                <right style="thin">
                  <color rgb="FFFF0000"/>
                </right>
                <top style="thin">
                  <color rgb="FFFF0000"/>
                </top>
                <bottom style="thin">
                  <color rgb="FFFF0000"/>
                </bottom>
              </border>
            </x14:dxf>
          </x14:cfRule>
          <xm:sqref>H302:K302</xm:sqref>
        </x14:conditionalFormatting>
        <x14:conditionalFormatting xmlns:xm="http://schemas.microsoft.com/office/excel/2006/main">
          <x14:cfRule type="expression" priority="570" id="{C091F017-1EE5-4F31-B81F-B46C82C461ED}">
            <xm:f>IF(Text!$AS$30=-2,TRUE,FALSE)</xm:f>
            <x14:dxf>
              <font>
                <b/>
                <i val="0"/>
                <color rgb="FFFF0000"/>
              </font>
              <border>
                <left style="thin">
                  <color rgb="FFFF0000"/>
                </left>
                <right style="thin">
                  <color rgb="FFFF0000"/>
                </right>
                <top style="thin">
                  <color rgb="FFFF0000"/>
                </top>
                <bottom style="thin">
                  <color rgb="FFFF0000"/>
                </bottom>
              </border>
            </x14:dxf>
          </x14:cfRule>
          <xm:sqref>H305:K305</xm:sqref>
        </x14:conditionalFormatting>
        <x14:conditionalFormatting xmlns:xm="http://schemas.microsoft.com/office/excel/2006/main">
          <x14:cfRule type="expression" priority="575" id="{978CD128-913E-4818-9A24-D7747CE9ECD4}">
            <xm:f>IF(Text!$AS$31=-2,TRUE,FALSE)</xm:f>
            <x14:dxf>
              <font>
                <b/>
                <i val="0"/>
                <color rgb="FFFF0000"/>
              </font>
              <border>
                <left style="thin">
                  <color rgb="FFFF0000"/>
                </left>
                <right style="thin">
                  <color rgb="FFFF0000"/>
                </right>
                <top style="thin">
                  <color rgb="FFFF0000"/>
                </top>
                <bottom style="thin">
                  <color rgb="FFFF0000"/>
                </bottom>
              </border>
            </x14:dxf>
          </x14:cfRule>
          <xm:sqref>H306:K306</xm:sqref>
        </x14:conditionalFormatting>
        <x14:conditionalFormatting xmlns:xm="http://schemas.microsoft.com/office/excel/2006/main">
          <x14:cfRule type="expression" priority="580" id="{24D7ABFF-1935-4E27-8843-5CAF620E97A8}">
            <xm:f>IF(Text!$AS$32=-2,TRUE,FALSE)</xm:f>
            <x14:dxf>
              <font>
                <b/>
                <i val="0"/>
                <color rgb="FFFF0000"/>
              </font>
              <border>
                <left style="thin">
                  <color rgb="FFFF0000"/>
                </left>
                <right style="thin">
                  <color rgb="FFFF0000"/>
                </right>
                <top style="thin">
                  <color rgb="FFFF0000"/>
                </top>
                <bottom style="thin">
                  <color rgb="FFFF0000"/>
                </bottom>
              </border>
            </x14:dxf>
          </x14:cfRule>
          <xm:sqref>H307:K307</xm:sqref>
        </x14:conditionalFormatting>
        <x14:conditionalFormatting xmlns:xm="http://schemas.microsoft.com/office/excel/2006/main">
          <x14:cfRule type="expression" priority="585" id="{1032A220-68EB-4AA0-86C6-603BC3D860C9}">
            <xm:f>IF(Text!$AS$33=-2,TRUE,FALSE)</xm:f>
            <x14:dxf>
              <font>
                <b/>
                <i val="0"/>
                <color rgb="FFFF0000"/>
              </font>
              <border>
                <left style="thin">
                  <color rgb="FFFF0000"/>
                </left>
                <right style="thin">
                  <color rgb="FFFF0000"/>
                </right>
                <top style="thin">
                  <color rgb="FFFF0000"/>
                </top>
                <bottom style="thin">
                  <color rgb="FFFF0000"/>
                </bottom>
              </border>
            </x14:dxf>
          </x14:cfRule>
          <xm:sqref>H308:K308</xm:sqref>
        </x14:conditionalFormatting>
        <x14:conditionalFormatting xmlns:xm="http://schemas.microsoft.com/office/excel/2006/main">
          <x14:cfRule type="expression" priority="590" id="{4C69268E-CED0-4A39-8D48-F2657C22287A}">
            <xm:f>IF(Text!$AS$34=-2,TRUE,FALSE)</xm:f>
            <x14:dxf>
              <font>
                <b/>
                <i val="0"/>
                <color rgb="FFFF0000"/>
              </font>
              <border>
                <left style="thin">
                  <color rgb="FFFF0000"/>
                </left>
                <right style="thin">
                  <color rgb="FFFF0000"/>
                </right>
                <top style="thin">
                  <color rgb="FFFF0000"/>
                </top>
                <bottom style="thin">
                  <color rgb="FFFF0000"/>
                </bottom>
              </border>
            </x14:dxf>
          </x14:cfRule>
          <xm:sqref>H309:K309</xm:sqref>
        </x14:conditionalFormatting>
        <x14:conditionalFormatting xmlns:xm="http://schemas.microsoft.com/office/excel/2006/main">
          <x14:cfRule type="expression" priority="595" id="{9D3AC29F-052B-403B-AFE2-45469E7F63D0}">
            <xm:f>IF(Text!$AS$35=-2,TRUE,FALSE)</xm:f>
            <x14:dxf>
              <font>
                <b/>
                <i val="0"/>
                <color rgb="FFFF0000"/>
              </font>
              <border>
                <left style="thin">
                  <color rgb="FFFF0000"/>
                </left>
                <right style="thin">
                  <color rgb="FFFF0000"/>
                </right>
                <top style="thin">
                  <color rgb="FFFF0000"/>
                </top>
                <bottom style="thin">
                  <color rgb="FFFF0000"/>
                </bottom>
              </border>
            </x14:dxf>
          </x14:cfRule>
          <xm:sqref>H310:K310</xm:sqref>
        </x14:conditionalFormatting>
        <x14:conditionalFormatting xmlns:xm="http://schemas.microsoft.com/office/excel/2006/main">
          <x14:cfRule type="expression" priority="600" id="{EED468FC-9803-458D-A87B-B78E480783CA}">
            <xm:f>IF(Text!$AS$36=-2,TRUE,FALSE)</xm:f>
            <x14:dxf>
              <font>
                <b/>
                <i val="0"/>
                <color rgb="FFFF0000"/>
              </font>
              <border>
                <left style="thin">
                  <color rgb="FFFF0000"/>
                </left>
                <right style="thin">
                  <color rgb="FFFF0000"/>
                </right>
                <top style="thin">
                  <color rgb="FFFF0000"/>
                </top>
                <bottom style="thin">
                  <color rgb="FFFF0000"/>
                </bottom>
              </border>
            </x14:dxf>
          </x14:cfRule>
          <xm:sqref>H311:K311</xm:sqref>
        </x14:conditionalFormatting>
        <x14:conditionalFormatting xmlns:xm="http://schemas.microsoft.com/office/excel/2006/main">
          <x14:cfRule type="expression" priority="646" id="{468E9EB6-5384-4EC0-96C5-2022F88A0685}">
            <xm:f>IF(Text!$AS$38=-2,TRUE,FALSE)</xm:f>
            <x14:dxf>
              <font>
                <b/>
                <i val="0"/>
                <color rgb="FFFF0000"/>
              </font>
              <border>
                <left style="thin">
                  <color rgb="FFFF0000"/>
                </left>
                <right style="thin">
                  <color rgb="FFFF0000"/>
                </right>
                <top style="thin">
                  <color rgb="FFFF0000"/>
                </top>
                <bottom style="thin">
                  <color rgb="FFFF0000"/>
                </bottom>
              </border>
            </x14:dxf>
          </x14:cfRule>
          <xm:sqref>H317:K317</xm:sqref>
        </x14:conditionalFormatting>
        <x14:conditionalFormatting xmlns:xm="http://schemas.microsoft.com/office/excel/2006/main">
          <x14:cfRule type="expression" priority="651" id="{AFCD380F-FAB0-4825-9D5D-9516BEC28A07}">
            <xm:f>IF(Text!$AS$39=-2,TRUE,FALSE)</xm:f>
            <x14:dxf>
              <font>
                <b/>
                <i val="0"/>
                <color rgb="FFFF0000"/>
              </font>
              <border>
                <left style="thin">
                  <color rgb="FFFF0000"/>
                </left>
                <right style="thin">
                  <color rgb="FFFF0000"/>
                </right>
                <top style="thin">
                  <color rgb="FFFF0000"/>
                </top>
                <bottom style="thin">
                  <color rgb="FFFF0000"/>
                </bottom>
              </border>
            </x14:dxf>
          </x14:cfRule>
          <xm:sqref>H318:K318</xm:sqref>
        </x14:conditionalFormatting>
        <x14:conditionalFormatting xmlns:xm="http://schemas.microsoft.com/office/excel/2006/main">
          <x14:cfRule type="expression" priority="656" id="{FBF9BA87-665D-4F63-B543-2D15FE43E840}">
            <xm:f>IF(Text!$AS$40=-2,TRUE,FALSE)</xm:f>
            <x14:dxf>
              <font>
                <b/>
                <i val="0"/>
                <color rgb="FFFF0000"/>
              </font>
              <border>
                <left style="thin">
                  <color rgb="FFFF0000"/>
                </left>
                <right style="thin">
                  <color rgb="FFFF0000"/>
                </right>
                <top style="thin">
                  <color rgb="FFFF0000"/>
                </top>
                <bottom style="thin">
                  <color rgb="FFFF0000"/>
                </bottom>
              </border>
            </x14:dxf>
          </x14:cfRule>
          <xm:sqref>H319:K319</xm:sqref>
        </x14:conditionalFormatting>
        <x14:conditionalFormatting xmlns:xm="http://schemas.microsoft.com/office/excel/2006/main">
          <x14:cfRule type="expression" priority="661" id="{1013FB77-E4F9-4850-8D01-AEB2DE937784}">
            <xm:f>IF(Text!$AS$41=-2,TRUE,FALSE)</xm:f>
            <x14:dxf>
              <font>
                <b/>
                <i val="0"/>
                <color rgb="FFFF0000"/>
              </font>
              <border>
                <left style="thin">
                  <color rgb="FFFF0000"/>
                </left>
                <right style="thin">
                  <color rgb="FFFF0000"/>
                </right>
                <top style="thin">
                  <color rgb="FFFF0000"/>
                </top>
                <bottom style="thin">
                  <color rgb="FFFF0000"/>
                </bottom>
              </border>
            </x14:dxf>
          </x14:cfRule>
          <xm:sqref>H321:K321</xm:sqref>
        </x14:conditionalFormatting>
        <x14:conditionalFormatting xmlns:xm="http://schemas.microsoft.com/office/excel/2006/main">
          <x14:cfRule type="expression" priority="666" id="{7460D4B8-66B9-47AF-A638-1A646830C6AA}">
            <xm:f>IF(Text!$AS$42=-2,TRUE,FALSE)</xm:f>
            <x14:dxf>
              <font>
                <b/>
                <i val="0"/>
                <color rgb="FFFF0000"/>
              </font>
              <border>
                <left style="thin">
                  <color rgb="FFFF0000"/>
                </left>
                <right style="thin">
                  <color rgb="FFFF0000"/>
                </right>
                <top style="thin">
                  <color rgb="FFFF0000"/>
                </top>
                <bottom style="thin">
                  <color rgb="FFFF0000"/>
                </bottom>
              </border>
            </x14:dxf>
          </x14:cfRule>
          <xm:sqref>H322:K322</xm:sqref>
        </x14:conditionalFormatting>
        <x14:conditionalFormatting xmlns:xm="http://schemas.microsoft.com/office/excel/2006/main">
          <x14:cfRule type="expression" priority="671" id="{FE8B5001-C088-4267-AF01-B90EAB132184}">
            <xm:f>IF(Text!$AS$43=-2,TRUE,FALSE)</xm:f>
            <x14:dxf>
              <font>
                <b/>
                <i val="0"/>
                <color rgb="FFFF0000"/>
              </font>
              <border>
                <left style="thin">
                  <color rgb="FFFF0000"/>
                </left>
                <right style="thin">
                  <color rgb="FFFF0000"/>
                </right>
                <top style="thin">
                  <color rgb="FFFF0000"/>
                </top>
                <bottom style="thin">
                  <color rgb="FFFF0000"/>
                </bottom>
              </border>
            </x14:dxf>
          </x14:cfRule>
          <xm:sqref>H323:K323</xm:sqref>
        </x14:conditionalFormatting>
        <x14:conditionalFormatting xmlns:xm="http://schemas.microsoft.com/office/excel/2006/main">
          <x14:cfRule type="expression" priority="676" id="{6159181E-1FB3-45C1-A4DD-937718F8C0BA}">
            <xm:f>IF(Text!$AS$44=-2,TRUE,FALSE)</xm:f>
            <x14:dxf>
              <font>
                <b/>
                <i val="0"/>
                <color rgb="FFFF0000"/>
              </font>
              <border>
                <left style="thin">
                  <color rgb="FFFF0000"/>
                </left>
                <right style="thin">
                  <color rgb="FFFF0000"/>
                </right>
                <top style="thin">
                  <color rgb="FFFF0000"/>
                </top>
                <bottom style="thin">
                  <color rgb="FFFF0000"/>
                </bottom>
              </border>
            </x14:dxf>
          </x14:cfRule>
          <xm:sqref>H325:K325</xm:sqref>
        </x14:conditionalFormatting>
        <x14:conditionalFormatting xmlns:xm="http://schemas.microsoft.com/office/excel/2006/main">
          <x14:cfRule type="expression" priority="681" id="{3AF6A8EB-D73D-4930-8482-9C7FA0859884}">
            <xm:f>IF(Text!$AS$46=-2,TRUE,FALSE)</xm:f>
            <x14:dxf>
              <font>
                <b/>
                <i val="0"/>
                <color rgb="FFFF0000"/>
              </font>
              <border>
                <left style="thin">
                  <color rgb="FFFF0000"/>
                </left>
                <right style="thin">
                  <color rgb="FFFF0000"/>
                </right>
                <top style="thin">
                  <color rgb="FFFF0000"/>
                </top>
                <bottom style="thin">
                  <color rgb="FFFF0000"/>
                </bottom>
              </border>
            </x14:dxf>
          </x14:cfRule>
          <xm:sqref>H332:K332</xm:sqref>
        </x14:conditionalFormatting>
        <x14:conditionalFormatting xmlns:xm="http://schemas.microsoft.com/office/excel/2006/main">
          <x14:cfRule type="expression" priority="686" id="{EAE8E5CC-66D2-45B4-BF83-3D5A9A19B5D4}">
            <xm:f>IF(Text!$AS$47=-2,TRUE,FALSE)</xm:f>
            <x14:dxf>
              <font>
                <b/>
                <i val="0"/>
                <color rgb="FFFF0000"/>
              </font>
              <border>
                <left style="thin">
                  <color rgb="FFFF0000"/>
                </left>
                <right style="thin">
                  <color rgb="FFFF0000"/>
                </right>
                <top style="thin">
                  <color rgb="FFFF0000"/>
                </top>
                <bottom style="thin">
                  <color rgb="FFFF0000"/>
                </bottom>
              </border>
            </x14:dxf>
          </x14:cfRule>
          <xm:sqref>H333:K333</xm:sqref>
        </x14:conditionalFormatting>
        <x14:conditionalFormatting xmlns:xm="http://schemas.microsoft.com/office/excel/2006/main">
          <x14:cfRule type="expression" priority="691" id="{631903AB-7FCD-40F4-96FE-8F1A01FDABC8}">
            <xm:f>IF(Text!$AS$48=-2,TRUE,FALSE)</xm:f>
            <x14:dxf>
              <font>
                <b/>
                <i val="0"/>
                <color rgb="FFFF0000"/>
              </font>
              <border>
                <left style="thin">
                  <color rgb="FFFF0000"/>
                </left>
                <right style="thin">
                  <color rgb="FFFF0000"/>
                </right>
                <top style="thin">
                  <color rgb="FFFF0000"/>
                </top>
                <bottom style="thin">
                  <color rgb="FFFF0000"/>
                </bottom>
              </border>
            </x14:dxf>
          </x14:cfRule>
          <xm:sqref>H334:K334</xm:sqref>
        </x14:conditionalFormatting>
        <x14:conditionalFormatting xmlns:xm="http://schemas.microsoft.com/office/excel/2006/main">
          <x14:cfRule type="expression" priority="696" id="{F7DD4F68-B868-43DF-B3D8-0E89168872FD}">
            <xm:f>IF(Text!$AS$49=-2,TRUE,FALSE)</xm:f>
            <x14:dxf>
              <font>
                <b/>
                <i val="0"/>
                <color rgb="FFFF0000"/>
              </font>
              <border>
                <left style="thin">
                  <color rgb="FFFF0000"/>
                </left>
                <right style="thin">
                  <color rgb="FFFF0000"/>
                </right>
                <top style="thin">
                  <color rgb="FFFF0000"/>
                </top>
                <bottom style="thin">
                  <color rgb="FFFF0000"/>
                </bottom>
              </border>
            </x14:dxf>
          </x14:cfRule>
          <xm:sqref>H336:K336</xm:sqref>
        </x14:conditionalFormatting>
        <x14:conditionalFormatting xmlns:xm="http://schemas.microsoft.com/office/excel/2006/main">
          <x14:cfRule type="expression" priority="701" id="{0A795F06-39CD-4748-9EEF-2EC0F47CB1A0}">
            <xm:f>IF(Text!$AS$50=-2,TRUE,FALSE)</xm:f>
            <x14:dxf>
              <font>
                <b/>
                <i val="0"/>
                <color rgb="FFFF0000"/>
              </font>
              <border>
                <left style="thin">
                  <color rgb="FFFF0000"/>
                </left>
                <right style="thin">
                  <color rgb="FFFF0000"/>
                </right>
                <top style="thin">
                  <color rgb="FFFF0000"/>
                </top>
                <bottom style="thin">
                  <color rgb="FFFF0000"/>
                </bottom>
              </border>
            </x14:dxf>
          </x14:cfRule>
          <xm:sqref>H337:K337</xm:sqref>
        </x14:conditionalFormatting>
        <x14:conditionalFormatting xmlns:xm="http://schemas.microsoft.com/office/excel/2006/main">
          <x14:cfRule type="expression" priority="706" id="{5FFE8E36-4C1E-48EB-A362-17C069FC3BA8}">
            <xm:f>IF(Text!$AS$51=-2,TRUE,FALSE)</xm:f>
            <x14:dxf>
              <font>
                <b/>
                <i val="0"/>
                <color rgb="FFFF0000"/>
              </font>
              <border>
                <left style="thin">
                  <color rgb="FFFF0000"/>
                </left>
                <right style="thin">
                  <color rgb="FFFF0000"/>
                </right>
                <top style="thin">
                  <color rgb="FFFF0000"/>
                </top>
                <bottom style="thin">
                  <color rgb="FFFF0000"/>
                </bottom>
              </border>
            </x14:dxf>
          </x14:cfRule>
          <xm:sqref>H340:K340</xm:sqref>
        </x14:conditionalFormatting>
        <x14:conditionalFormatting xmlns:xm="http://schemas.microsoft.com/office/excel/2006/main">
          <x14:cfRule type="expression" priority="711" id="{59E68075-5F54-49EB-B4EE-9657F6FD1294}">
            <xm:f>IF(Text!$AS$52=-2,TRUE,FALSE)</xm:f>
            <x14:dxf>
              <font>
                <b/>
                <i val="0"/>
                <color rgb="FFFF0000"/>
              </font>
              <border>
                <left style="thin">
                  <color rgb="FFFF0000"/>
                </left>
                <right style="thin">
                  <color rgb="FFFF0000"/>
                </right>
                <top style="thin">
                  <color rgb="FFFF0000"/>
                </top>
                <bottom style="thin">
                  <color rgb="FFFF0000"/>
                </bottom>
              </border>
            </x14:dxf>
          </x14:cfRule>
          <xm:sqref>H341:K341</xm:sqref>
        </x14:conditionalFormatting>
        <x14:conditionalFormatting xmlns:xm="http://schemas.microsoft.com/office/excel/2006/main">
          <x14:cfRule type="expression" priority="716" id="{92A45FF5-BA2E-4E6D-9566-6178B25D3CBF}">
            <xm:f>IF(Text!$AS$53=-2,TRUE,FALSE)</xm:f>
            <x14:dxf>
              <font>
                <b/>
                <i val="0"/>
                <color rgb="FFFF0000"/>
              </font>
              <border>
                <left style="thin">
                  <color rgb="FFFF0000"/>
                </left>
                <right style="thin">
                  <color rgb="FFFF0000"/>
                </right>
                <top style="thin">
                  <color rgb="FFFF0000"/>
                </top>
                <bottom style="thin">
                  <color rgb="FFFF0000"/>
                </bottom>
              </border>
            </x14:dxf>
          </x14:cfRule>
          <xm:sqref>H342:K342</xm:sqref>
        </x14:conditionalFormatting>
        <x14:conditionalFormatting xmlns:xm="http://schemas.microsoft.com/office/excel/2006/main">
          <x14:cfRule type="expression" priority="721" id="{CFCF4887-C5C2-4899-8D78-E842CDE5F2B6}">
            <xm:f>IF(Text!$AS$54=-2,TRUE,FALSE)</xm:f>
            <x14:dxf>
              <font>
                <b/>
                <i val="0"/>
                <color rgb="FFFF0000"/>
              </font>
              <border>
                <left style="thin">
                  <color rgb="FFFF0000"/>
                </left>
                <right style="thin">
                  <color rgb="FFFF0000"/>
                </right>
                <top style="thin">
                  <color rgb="FFFF0000"/>
                </top>
                <bottom style="thin">
                  <color rgb="FFFF0000"/>
                </bottom>
              </border>
            </x14:dxf>
          </x14:cfRule>
          <xm:sqref>H343:K343</xm:sqref>
        </x14:conditionalFormatting>
        <x14:conditionalFormatting xmlns:xm="http://schemas.microsoft.com/office/excel/2006/main">
          <x14:cfRule type="expression" priority="726" id="{CED1E77B-502D-4A0D-8058-F8C0C531EA05}">
            <xm:f>IF(Text!$AS$55=-2,TRUE,FALSE)</xm:f>
            <x14:dxf>
              <font>
                <b/>
                <i val="0"/>
                <color rgb="FFFF0000"/>
              </font>
              <border>
                <left style="thin">
                  <color rgb="FFFF0000"/>
                </left>
                <right style="thin">
                  <color rgb="FFFF0000"/>
                </right>
                <top style="thin">
                  <color rgb="FFFF0000"/>
                </top>
                <bottom style="thin">
                  <color rgb="FFFF0000"/>
                </bottom>
              </border>
            </x14:dxf>
          </x14:cfRule>
          <xm:sqref>H344:K344</xm:sqref>
        </x14:conditionalFormatting>
        <x14:conditionalFormatting xmlns:xm="http://schemas.microsoft.com/office/excel/2006/main">
          <x14:cfRule type="expression" priority="731" id="{467D6BD6-36C7-4FEB-A51E-813BC7D0E3B2}">
            <xm:f>IF(Text!$AS$56=-2,TRUE,FALSE)</xm:f>
            <x14:dxf>
              <font>
                <b/>
                <i val="0"/>
                <color rgb="FFFF0000"/>
              </font>
              <border>
                <left style="thin">
                  <color rgb="FFFF0000"/>
                </left>
                <right style="thin">
                  <color rgb="FFFF0000"/>
                </right>
                <top style="thin">
                  <color rgb="FFFF0000"/>
                </top>
                <bottom style="thin">
                  <color rgb="FFFF0000"/>
                </bottom>
              </border>
            </x14:dxf>
          </x14:cfRule>
          <xm:sqref>H345:K345</xm:sqref>
        </x14:conditionalFormatting>
        <x14:conditionalFormatting xmlns:xm="http://schemas.microsoft.com/office/excel/2006/main">
          <x14:cfRule type="expression" priority="736" id="{7AEC8993-17ED-4C23-9B5E-683C2D6766F5}">
            <xm:f>IF(Text!$AS$57=-2,TRUE,FALSE)</xm:f>
            <x14:dxf>
              <font>
                <b/>
                <i val="0"/>
                <color rgb="FFFF0000"/>
              </font>
              <border>
                <left style="thin">
                  <color rgb="FFFF0000"/>
                </left>
                <right style="thin">
                  <color rgb="FFFF0000"/>
                </right>
                <top style="thin">
                  <color rgb="FFFF0000"/>
                </top>
                <bottom style="thin">
                  <color rgb="FFFF0000"/>
                </bottom>
              </border>
            </x14:dxf>
          </x14:cfRule>
          <xm:sqref>H347:K347</xm:sqref>
        </x14:conditionalFormatting>
        <x14:conditionalFormatting xmlns:xm="http://schemas.microsoft.com/office/excel/2006/main">
          <x14:cfRule type="expression" priority="741" id="{F49AFCE5-B227-4B51-8292-F410CACE3DB5}">
            <xm:f>IF(Text!$AS$58=-2,TRUE,FALSE)</xm:f>
            <x14:dxf>
              <font>
                <b/>
                <i val="0"/>
                <color rgb="FFFF0000"/>
              </font>
              <border>
                <left style="thin">
                  <color rgb="FFFF0000"/>
                </left>
                <right style="thin">
                  <color rgb="FFFF0000"/>
                </right>
                <top style="thin">
                  <color rgb="FFFF0000"/>
                </top>
                <bottom style="thin">
                  <color rgb="FFFF0000"/>
                </bottom>
              </border>
            </x14:dxf>
          </x14:cfRule>
          <xm:sqref>H348:K348</xm:sqref>
        </x14:conditionalFormatting>
        <x14:conditionalFormatting xmlns:xm="http://schemas.microsoft.com/office/excel/2006/main">
          <x14:cfRule type="expression" priority="746" id="{AA6167FC-3182-4B07-A261-EC7C186C7146}">
            <xm:f>IF(Text!$AS$59=-2,TRUE,FALSE)</xm:f>
            <x14:dxf>
              <font>
                <b/>
                <i val="0"/>
                <color rgb="FFFF0000"/>
              </font>
              <border>
                <left style="thin">
                  <color rgb="FFFF0000"/>
                </left>
                <right style="thin">
                  <color rgb="FFFF0000"/>
                </right>
                <top style="thin">
                  <color rgb="FFFF0000"/>
                </top>
                <bottom style="thin">
                  <color rgb="FFFF0000"/>
                </bottom>
              </border>
            </x14:dxf>
          </x14:cfRule>
          <xm:sqref>H349:K349</xm:sqref>
        </x14:conditionalFormatting>
        <x14:conditionalFormatting xmlns:xm="http://schemas.microsoft.com/office/excel/2006/main">
          <x14:cfRule type="expression" priority="148" id="{BA399476-11E7-4220-8F18-879F60713B6E}">
            <xm:f>IF(Text!$AV$26="E",TRUE,FALSE)</xm:f>
            <x14:dxf>
              <font>
                <strike val="0"/>
                <color theme="0" tint="-0.34998626667073579"/>
              </font>
            </x14:dxf>
          </x14:cfRule>
          <x14:cfRule type="expression" priority="149" id="{7028FFE0-EE54-43EA-A919-51C48C506F0A}">
            <xm:f>IF(Text!$AV$26=-2,TRUE,FALSE)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50" id="{A3641649-2F06-43C8-9DD5-BD978090DE5D}">
            <xm:f>IF(Text!$AV$26=-1,TRUE,FALSE)</xm:f>
            <x14:dxf>
              <font>
                <color rgb="FFFF0000"/>
              </font>
            </x14:dxf>
          </x14:cfRule>
          <x14:cfRule type="expression" priority="151" id="{229CFC2A-4B8E-4F1F-A04B-FD2FEA5F28E9}">
            <xm:f>IF(Text!$AV$26=1,TRUE,FALSE)</xm:f>
            <x14:dxf>
              <font>
                <color theme="9" tint="-0.24994659260841701"/>
              </font>
            </x14:dxf>
          </x14:cfRule>
          <x14:cfRule type="expression" priority="152" id="{DEFE244A-C972-42F6-B670-FE180C77810E}">
            <xm:f>IF(Text!$AV$26=2,TRUE,FALSE)</xm:f>
            <x14:dxf>
              <font>
                <b/>
                <i val="0"/>
                <strike/>
                <color theme="9" tint="-0.24994659260841701"/>
              </font>
            </x14:dxf>
          </x14:cfRule>
          <xm:sqref>R475</xm:sqref>
        </x14:conditionalFormatting>
        <x14:conditionalFormatting xmlns:xm="http://schemas.microsoft.com/office/excel/2006/main">
          <x14:cfRule type="expression" priority="153" id="{B7B7C3F8-130D-49B0-AFF8-47640165474A}">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54" id="{3C947593-1CE6-4398-A42D-F7B234575364}">
            <xm:f>IF(Text!$AS$25=-1,TRUE,FALSE)</xm:f>
            <x14:dxf>
              <font>
                <color rgb="FFFF0000"/>
              </font>
            </x14:dxf>
          </x14:cfRule>
          <x14:cfRule type="expression" priority="155" id="{1CE21982-813A-4FCB-BC0D-63C41BA35E34}">
            <xm:f>IF(Text!$AS$25=1,TRUE,FALSE)</xm:f>
            <x14:dxf>
              <font>
                <color theme="9" tint="-0.24994659260841701"/>
              </font>
            </x14:dxf>
          </x14:cfRule>
          <x14:cfRule type="expression" priority="156" id="{393BCF43-E06F-4DE5-A4AF-28E6E6CB86C0}">
            <xm:f>IF(Text!$AS$25=2,TRUE,FALSE)</xm:f>
            <x14:dxf>
              <font>
                <b/>
                <i val="0"/>
                <strike/>
                <color theme="9" tint="-0.24994659260841701"/>
              </font>
            </x14:dxf>
          </x14:cfRule>
          <xm:sqref>O472</xm:sqref>
        </x14:conditionalFormatting>
        <x14:conditionalFormatting xmlns:xm="http://schemas.microsoft.com/office/excel/2006/main">
          <x14:cfRule type="expression" priority="157" id="{98838A00-5C24-4CB0-A89E-04F76A93A31C}">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158" id="{8AD3CAE5-AD5D-4EBD-B2E1-ED353AD50072}">
            <xm:f>IF(Text!$AV$25=-1,TRUE,FALSE)</xm:f>
            <x14:dxf>
              <font>
                <color rgb="FFFF0000"/>
              </font>
            </x14:dxf>
          </x14:cfRule>
          <x14:cfRule type="expression" priority="159" id="{E6F810D4-98C7-4BB9-8F6A-6DF04663FD92}">
            <xm:f>IF(Text!$AV$25=1,TRUE,FALSE)</xm:f>
            <x14:dxf>
              <font>
                <color theme="9" tint="-0.24994659260841701"/>
              </font>
            </x14:dxf>
          </x14:cfRule>
          <x14:cfRule type="expression" priority="160" id="{1B7E4CE6-50D0-4D5D-889A-B2AF4712A92A}">
            <xm:f>IF(Text!$AV$25=2,TRUE,FALSE)</xm:f>
            <x14:dxf>
              <font>
                <b/>
                <i val="0"/>
                <strike/>
                <color theme="9" tint="-0.24994659260841701"/>
              </font>
            </x14:dxf>
          </x14:cfRule>
          <xm:sqref>R472</xm:sqref>
        </x14:conditionalFormatting>
        <x14:conditionalFormatting xmlns:xm="http://schemas.microsoft.com/office/excel/2006/main">
          <x14:cfRule type="expression" priority="161" id="{47BE2C0E-5267-42DC-AE7D-DBABB9FFAC70}">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162" id="{0CDE73A6-41D1-46A9-A28F-1BBF98683EA6}">
            <xm:f>IF(Text!$AV$24=-1,TRUE,FALSE)</xm:f>
            <x14:dxf>
              <font>
                <color rgb="FFFF0000"/>
              </font>
            </x14:dxf>
          </x14:cfRule>
          <x14:cfRule type="expression" priority="163" id="{0FB0D19E-DD0E-47CA-9492-294D3D1AED97}">
            <xm:f>IF(Text!$AV$24=1,TRUE,FALSE)</xm:f>
            <x14:dxf>
              <font>
                <color theme="9" tint="-0.24994659260841701"/>
              </font>
            </x14:dxf>
          </x14:cfRule>
          <x14:cfRule type="expression" priority="164" id="{1E2CE29B-D151-414F-B92F-5689EFB7AF0A}">
            <xm:f>IF(Text!$AV$24=2,TRUE,FALSE)</xm:f>
            <x14:dxf>
              <font>
                <b/>
                <i val="0"/>
                <strike/>
                <color theme="9" tint="-0.24994659260841701"/>
              </font>
            </x14:dxf>
          </x14:cfRule>
          <xm:sqref>R471</xm:sqref>
        </x14:conditionalFormatting>
        <x14:conditionalFormatting xmlns:xm="http://schemas.microsoft.com/office/excel/2006/main">
          <x14:cfRule type="expression" priority="165" id="{D4EFC2B8-3417-4D10-898B-03B54FA72F38}">
            <xm:f>IF(Text!$AS$27=-2,TRUE,FALSE)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66" id="{4390FF18-8DC3-413D-8FFE-D75592403645}">
            <xm:f>IF(Text!$AS$27=-1,TRUE,FALSE)</xm:f>
            <x14:dxf>
              <font>
                <color rgb="FFFF0000"/>
              </font>
            </x14:dxf>
          </x14:cfRule>
          <x14:cfRule type="expression" priority="167" id="{AB5C857D-C864-4B55-9A68-7378C7CFB7F1}">
            <xm:f>IF(Text!$AS$27=1,TRUE,FALSE)</xm:f>
            <x14:dxf>
              <font>
                <color theme="9" tint="-0.24994659260841701"/>
              </font>
            </x14:dxf>
          </x14:cfRule>
          <x14:cfRule type="expression" priority="168" id="{2828AFDC-7AEF-45E1-833B-023C511461A1}">
            <xm:f>IF(Text!$AS$27=2,TRUE,FALSE)</xm:f>
            <x14:dxf>
              <font>
                <b/>
                <i val="0"/>
                <strike/>
                <color theme="9" tint="-0.24994659260841701"/>
              </font>
            </x14:dxf>
          </x14:cfRule>
          <xm:sqref>O476</xm:sqref>
        </x14:conditionalFormatting>
        <x14:conditionalFormatting xmlns:xm="http://schemas.microsoft.com/office/excel/2006/main">
          <x14:cfRule type="expression" priority="169" id="{E83B1CA5-FBD8-4CAA-8735-BB9BC4DEA105}">
            <xm:f>IF(Text!$AV$27=-2,TRUE,FALSE)</xm:f>
            <x14:dxf>
              <font>
                <b/>
                <i val="0"/>
                <color rgb="FFFF0000"/>
              </font>
              <border>
                <left style="thin">
                  <color rgb="FFFF0000"/>
                </left>
                <right style="thin">
                  <color rgb="FFFF0000"/>
                </right>
                <top style="thin">
                  <color rgb="FFFF0000"/>
                </top>
                <bottom style="thin">
                  <color rgb="FFFF0000"/>
                </bottom>
              </border>
            </x14:dxf>
          </x14:cfRule>
          <x14:cfRule type="expression" priority="170" id="{C4814B8D-7F23-4AAA-A1BC-20F3320495D1}">
            <xm:f>IF(Text!$AV$27=-1,TRUE,FALSE)</xm:f>
            <x14:dxf>
              <font>
                <color rgb="FFFF0000"/>
              </font>
            </x14:dxf>
          </x14:cfRule>
          <x14:cfRule type="expression" priority="171" id="{D955F268-2572-4277-ACD5-8B533741390A}">
            <xm:f>IF(Text!$AV$27=1,TRUE,FALSE)</xm:f>
            <x14:dxf>
              <font>
                <color theme="9" tint="-0.24994659260841701"/>
              </font>
            </x14:dxf>
          </x14:cfRule>
          <x14:cfRule type="expression" priority="172" id="{228B466D-E192-45B9-A027-EE5E9FEAFE42}">
            <xm:f>IF(Text!$AV$27=2,TRUE,FALSE)</xm:f>
            <x14:dxf>
              <font>
                <b/>
                <i val="0"/>
                <strike/>
                <color theme="9" tint="-0.24994659260841701"/>
              </font>
            </x14:dxf>
          </x14:cfRule>
          <xm:sqref>R476</xm:sqref>
        </x14:conditionalFormatting>
        <x14:conditionalFormatting xmlns:xm="http://schemas.microsoft.com/office/excel/2006/main">
          <x14:cfRule type="expression" priority="135" id="{71DB1CA5-64AD-49C3-B80F-91B76F99F4BF}">
            <xm:f>IF(Text!$AV$26="E",TRUE,FALSE)</xm:f>
            <x14:dxf>
              <font>
                <strike val="0"/>
                <color theme="0" tint="-0.34998626667073579"/>
              </font>
            </x14:dxf>
          </x14:cfRule>
          <x14:cfRule type="expression" priority="136" id="{0EE2F383-586F-4CDE-BF00-EC6EE781DF37}">
            <xm:f>IF(Text!$AV$26=-2,TRUE,FALSE)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37" id="{36F20BB8-D15D-4827-A0C1-C62A086531EA}">
            <xm:f>IF(Text!$AV$26=-1,TRUE,FALSE)</xm:f>
            <x14:dxf>
              <font>
                <color rgb="FFFF0000"/>
              </font>
            </x14:dxf>
          </x14:cfRule>
          <x14:cfRule type="expression" priority="138" id="{3C7A9822-1AC4-447B-9EDA-3759502918EB}">
            <xm:f>IF(Text!$AV$26=1,TRUE,FALSE)</xm:f>
            <x14:dxf>
              <font>
                <color theme="9" tint="-0.24994659260841701"/>
              </font>
            </x14:dxf>
          </x14:cfRule>
          <x14:cfRule type="expression" priority="139" id="{D84714D1-33D8-4C5D-9AD5-3C36A210028B}">
            <xm:f>IF(Text!$AV$26=2,TRUE,FALSE)</xm:f>
            <x14:dxf>
              <font>
                <b/>
                <i val="0"/>
                <strike/>
                <color theme="9" tint="-0.24994659260841701"/>
              </font>
            </x14:dxf>
          </x14:cfRule>
          <xm:sqref>R489</xm:sqref>
        </x14:conditionalFormatting>
        <x14:conditionalFormatting xmlns:xm="http://schemas.microsoft.com/office/excel/2006/main">
          <x14:cfRule type="expression" priority="140" id="{1BAECCCC-5E0A-4195-A89D-3BEBA707AE07}">
            <xm:f>IF(Text!$AY$26=-2,TRUE,FALSE)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141" id="{F2FECFAE-87E9-4A69-9560-E84181D5A12A}">
            <xm:f>IF(Text!$AY$26=-1,TRUE,FALSE)</xm:f>
            <x14:dxf>
              <font>
                <color rgb="FFFF0000"/>
              </font>
            </x14:dxf>
          </x14:cfRule>
          <x14:cfRule type="expression" priority="142" id="{B7C94421-6E3B-4EE0-A03D-070D3D89F92A}">
            <xm:f>IF(Text!$AY$26=1,TRUE,FALSE)</xm:f>
            <x14:dxf>
              <font>
                <color theme="9" tint="-0.24994659260841701"/>
              </font>
            </x14:dxf>
          </x14:cfRule>
          <x14:cfRule type="expression" priority="143" id="{8EC6D809-1BFC-4218-93E3-D8B4C150E474}">
            <xm:f>IF(Text!$AY$26=2,TRUE,FALSE)</xm:f>
            <x14:dxf>
              <font>
                <b/>
                <i val="0"/>
                <strike/>
                <color theme="9" tint="-0.24994659260841701"/>
              </font>
            </x14:dxf>
          </x14:cfRule>
          <xm:sqref>V489</xm:sqref>
        </x14:conditionalFormatting>
        <x14:conditionalFormatting xmlns:xm="http://schemas.microsoft.com/office/excel/2006/main">
          <x14:cfRule type="expression" priority="144" id="{9EED6425-8A79-49B6-9662-C519E1298571}">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145" id="{DEA9DC27-9ED8-409D-84FB-5255D9D779F7}">
            <xm:f>IF(Text!$AV$24=-1,TRUE,FALSE)</xm:f>
            <x14:dxf>
              <font>
                <color rgb="FFFF0000"/>
              </font>
            </x14:dxf>
          </x14:cfRule>
          <x14:cfRule type="expression" priority="146" id="{A4F48173-EBFA-4FF0-B498-15728CC48C82}">
            <xm:f>IF(Text!$AV$24=1,TRUE,FALSE)</xm:f>
            <x14:dxf>
              <font>
                <color theme="9" tint="-0.24994659260841701"/>
              </font>
            </x14:dxf>
          </x14:cfRule>
          <x14:cfRule type="expression" priority="147" id="{DA903260-A0DB-4A27-808C-D207BFDE0A16}">
            <xm:f>IF(Text!$AV$24=2,TRUE,FALSE)</xm:f>
            <x14:dxf>
              <font>
                <b/>
                <i val="0"/>
                <strike/>
                <color theme="9" tint="-0.24994659260841701"/>
              </font>
            </x14:dxf>
          </x14:cfRule>
          <xm:sqref>R487</xm:sqref>
        </x14:conditionalFormatting>
        <x14:conditionalFormatting xmlns:xm="http://schemas.microsoft.com/office/excel/2006/main">
          <x14:cfRule type="expression" priority="132" id="{92BEEFD7-C376-4CB0-B63C-30D3582EB6BC}">
            <xm:f>IF(Text!$AV$23=-1,TRUE,FALSE)</xm:f>
            <x14:dxf>
              <font>
                <color rgb="FFFF0000"/>
              </font>
            </x14:dxf>
          </x14:cfRule>
          <x14:cfRule type="expression" priority="133" id="{E65DE2FA-6472-4729-9963-DF5E6C622E42}">
            <xm:f>IF(Text!$AV$23=1,TRUE,FALSE)</xm:f>
            <x14:dxf>
              <font>
                <color theme="9" tint="-0.24994659260841701"/>
              </font>
            </x14:dxf>
          </x14:cfRule>
          <x14:cfRule type="expression" priority="134" id="{DB5FE6B1-1A9D-4FD9-8368-CDF8FB13EDBE}">
            <xm:f>IF(Text!$AV$23=2,TRUE,FALSE)</xm:f>
            <x14:dxf>
              <font>
                <b/>
                <i val="0"/>
                <strike/>
                <color theme="9" tint="-0.24994659260841701"/>
              </font>
            </x14:dxf>
          </x14:cfRule>
          <xm:sqref>U465</xm:sqref>
        </x14:conditionalFormatting>
        <x14:conditionalFormatting xmlns:xm="http://schemas.microsoft.com/office/excel/2006/main">
          <x14:cfRule type="expression" priority="128" id="{49859834-FE22-4F19-80A8-983E421320C5}">
            <xm:f>IF(Text!$AV$26=-1,TRUE,FALSE)</xm:f>
            <x14:dxf>
              <font>
                <color rgb="FFFF0000"/>
              </font>
            </x14:dxf>
          </x14:cfRule>
          <x14:cfRule type="expression" priority="129" id="{F58E9784-5D92-4FEA-82B6-DC1F4B3C4459}">
            <xm:f>IF(Text!$AV$26=1,TRUE,FALSE)</xm:f>
            <x14:dxf>
              <font>
                <color theme="9" tint="-0.24994659260841701"/>
              </font>
            </x14:dxf>
          </x14:cfRule>
          <x14:cfRule type="expression" priority="130" id="{37AB0607-004A-4D6E-A8B1-C983963954CF}">
            <xm:f>IF(Text!$AV$26=2,TRUE,FALSE)</xm:f>
            <x14:dxf>
              <font>
                <b/>
                <i val="0"/>
                <strike/>
                <color theme="9" tint="-0.24994659260841701"/>
              </font>
            </x14:dxf>
          </x14:cfRule>
          <xm:sqref>U468</xm:sqref>
        </x14:conditionalFormatting>
        <x14:conditionalFormatting xmlns:xm="http://schemas.microsoft.com/office/excel/2006/main">
          <x14:cfRule type="expression" priority="124" id="{A065FE11-1B8A-4CE0-AAB4-A071F48E23E8}">
            <xm:f>IF(Text!$AV$27=-1,TRUE,FALSE)</xm:f>
            <x14:dxf>
              <font>
                <color rgb="FFFF0000"/>
              </font>
            </x14:dxf>
          </x14:cfRule>
          <x14:cfRule type="expression" priority="125" id="{0CB41C37-940E-4235-B21F-62A077F4CABF}">
            <xm:f>IF(Text!$AV$27=1,TRUE,FALSE)</xm:f>
            <x14:dxf>
              <font>
                <color theme="9" tint="-0.24994659260841701"/>
              </font>
            </x14:dxf>
          </x14:cfRule>
          <x14:cfRule type="expression" priority="126" id="{97A1B083-B371-4F8E-91D0-CED22C6145A5}">
            <xm:f>IF(Text!$AV$27=2,TRUE,FALSE)</xm:f>
            <x14:dxf>
              <font>
                <b/>
                <i val="0"/>
                <strike/>
                <color theme="9" tint="-0.24994659260841701"/>
              </font>
            </x14:dxf>
          </x14:cfRule>
          <xm:sqref>U469</xm:sqref>
        </x14:conditionalFormatting>
        <x14:conditionalFormatting xmlns:xm="http://schemas.microsoft.com/office/excel/2006/main">
          <x14:cfRule type="expression" priority="120" id="{F36A51D0-2662-4497-B932-B131E3A4E224}">
            <xm:f>IF(Text!$AV$24=-1,TRUE,FALSE)</xm:f>
            <x14:dxf>
              <font>
                <color rgb="FFFF0000"/>
              </font>
            </x14:dxf>
          </x14:cfRule>
          <x14:cfRule type="expression" priority="121" id="{06FD8CF9-FC75-4DFA-8189-D33E8FB5ED07}">
            <xm:f>IF(Text!$AV$24=1,TRUE,FALSE)</xm:f>
            <x14:dxf>
              <font>
                <color theme="9" tint="-0.24994659260841701"/>
              </font>
            </x14:dxf>
          </x14:cfRule>
          <x14:cfRule type="expression" priority="122" id="{63F024E4-1686-431B-94DA-B7FD8D3BE69E}">
            <xm:f>IF(Text!$AV$24=2,TRUE,FALSE)</xm:f>
            <x14:dxf>
              <font>
                <b/>
                <i val="0"/>
                <strike/>
                <color theme="9" tint="-0.24994659260841701"/>
              </font>
            </x14:dxf>
          </x14:cfRule>
          <xm:sqref>U466</xm:sqref>
        </x14:conditionalFormatting>
        <x14:conditionalFormatting xmlns:xm="http://schemas.microsoft.com/office/excel/2006/main">
          <x14:cfRule type="expression" priority="116" id="{5592DADB-CDD6-429C-891F-A62044FCBC03}">
            <xm:f>IF(Text!$AV$25=-1,TRUE,FALSE)</xm:f>
            <x14:dxf>
              <font>
                <color rgb="FFFF0000"/>
              </font>
            </x14:dxf>
          </x14:cfRule>
          <x14:cfRule type="expression" priority="117" id="{AC7BAF20-505A-4A24-BC32-F6DF0A321E0F}">
            <xm:f>IF(Text!$AV$25=1,TRUE,FALSE)</xm:f>
            <x14:dxf>
              <font>
                <color theme="9" tint="-0.24994659260841701"/>
              </font>
            </x14:dxf>
          </x14:cfRule>
          <x14:cfRule type="expression" priority="118" id="{FD133729-4852-4477-8AE3-1ED0DF8F87E5}">
            <xm:f>IF(Text!$AV$25=2,TRUE,FALSE)</xm:f>
            <x14:dxf>
              <font>
                <b/>
                <i val="0"/>
                <strike/>
                <color theme="9" tint="-0.24994659260841701"/>
              </font>
            </x14:dxf>
          </x14:cfRule>
          <xm:sqref>U467</xm:sqref>
        </x14:conditionalFormatting>
        <x14:conditionalFormatting xmlns:xm="http://schemas.microsoft.com/office/excel/2006/main">
          <x14:cfRule type="expression" priority="112" id="{6B31C715-E32E-4CEA-8D1C-B683E564B6DF}">
            <xm:f>IF(Text!$AV$28=-1,TRUE,FALSE)</xm:f>
            <x14:dxf>
              <font>
                <color rgb="FFFF0000"/>
              </font>
            </x14:dxf>
          </x14:cfRule>
          <x14:cfRule type="expression" priority="113" id="{4356FEAC-7003-493E-8D7D-DE63EBA98F05}">
            <xm:f>IF(Text!$AV$28=1,TRUE,FALSE)</xm:f>
            <x14:dxf>
              <font>
                <color theme="9" tint="-0.24994659260841701"/>
              </font>
            </x14:dxf>
          </x14:cfRule>
          <x14:cfRule type="expression" priority="114" id="{C6BDFAB3-D54C-4396-98EF-7E0118089B07}">
            <xm:f>IF(Text!$AV$28=2,TRUE,FALSE)</xm:f>
            <x14:dxf>
              <font>
                <b/>
                <i val="0"/>
                <strike/>
                <color theme="9" tint="-0.24994659260841701"/>
              </font>
            </x14:dxf>
          </x14:cfRule>
          <xm:sqref>U471</xm:sqref>
        </x14:conditionalFormatting>
        <x14:conditionalFormatting xmlns:xm="http://schemas.microsoft.com/office/excel/2006/main">
          <x14:cfRule type="expression" priority="108" id="{9A277015-7EA4-41E1-AAAB-E1A38D884894}">
            <xm:f>IF(Text!$AV$29=-1,TRUE,FALSE)</xm:f>
            <x14:dxf>
              <font>
                <color rgb="FFFF0000"/>
              </font>
            </x14:dxf>
          </x14:cfRule>
          <x14:cfRule type="expression" priority="109" id="{0A06144A-BB31-4D18-ACBF-B879C6AFE132}">
            <xm:f>IF(Text!$AV$29=1,TRUE,FALSE)</xm:f>
            <x14:dxf>
              <font>
                <color theme="9" tint="-0.24994659260841701"/>
              </font>
            </x14:dxf>
          </x14:cfRule>
          <x14:cfRule type="expression" priority="110" id="{B0C3CD07-15BB-4DD3-A29E-7A6BD7B1D4E9}">
            <xm:f>IF(Text!$AV$29=2,TRUE,FALSE)</xm:f>
            <x14:dxf>
              <font>
                <b/>
                <i val="0"/>
                <strike/>
                <color theme="9" tint="-0.24994659260841701"/>
              </font>
            </x14:dxf>
          </x14:cfRule>
          <xm:sqref>U472</xm:sqref>
        </x14:conditionalFormatting>
        <x14:conditionalFormatting xmlns:xm="http://schemas.microsoft.com/office/excel/2006/main">
          <x14:cfRule type="expression" priority="104" id="{07C9B2D6-8A7E-4741-8C9B-E1E28C812392}">
            <xm:f>IF(Text!$AV$30=-1,TRUE,FALSE)</xm:f>
            <x14:dxf>
              <font>
                <color rgb="FFFF0000"/>
              </font>
            </x14:dxf>
          </x14:cfRule>
          <x14:cfRule type="expression" priority="105" id="{3D919643-8477-4585-BDA2-9011833E9EE9}">
            <xm:f>IF(Text!$AV$30=1,TRUE,FALSE)</xm:f>
            <x14:dxf>
              <font>
                <color theme="9" tint="-0.24994659260841701"/>
              </font>
            </x14:dxf>
          </x14:cfRule>
          <x14:cfRule type="expression" priority="106" id="{C87E88B4-93A1-4548-829C-A4106EF06E17}">
            <xm:f>IF(Text!$AV$30=2,TRUE,FALSE)</xm:f>
            <x14:dxf>
              <font>
                <b/>
                <i val="0"/>
                <strike/>
                <color theme="9" tint="-0.24994659260841701"/>
              </font>
            </x14:dxf>
          </x14:cfRule>
          <xm:sqref>U475</xm:sqref>
        </x14:conditionalFormatting>
        <x14:conditionalFormatting xmlns:xm="http://schemas.microsoft.com/office/excel/2006/main">
          <x14:cfRule type="expression" priority="100" id="{3D29B66C-F4EB-4926-8EDE-DA6605C0415D}">
            <xm:f>IF(Text!$AV$31=-1,TRUE,FALSE)</xm:f>
            <x14:dxf>
              <font>
                <color rgb="FFFF0000"/>
              </font>
            </x14:dxf>
          </x14:cfRule>
          <x14:cfRule type="expression" priority="101" id="{7A3245BA-0F91-4A96-9C75-762C865C62B4}">
            <xm:f>IF(Text!$AV$31=1,TRUE,FALSE)</xm:f>
            <x14:dxf>
              <font>
                <color theme="9" tint="-0.24994659260841701"/>
              </font>
            </x14:dxf>
          </x14:cfRule>
          <x14:cfRule type="expression" priority="102" id="{FB0D0169-B1F4-4330-9CB1-E67EB83C10CD}">
            <xm:f>IF(Text!$AV$31=2,TRUE,FALSE)</xm:f>
            <x14:dxf>
              <font>
                <b/>
                <i val="0"/>
                <strike/>
                <color theme="9" tint="-0.24994659260841701"/>
              </font>
            </x14:dxf>
          </x14:cfRule>
          <xm:sqref>U482</xm:sqref>
        </x14:conditionalFormatting>
        <x14:conditionalFormatting xmlns:xm="http://schemas.microsoft.com/office/excel/2006/main">
          <x14:cfRule type="expression" priority="96" id="{667F74B6-91F2-4320-A11A-844BC3531F7E}">
            <xm:f>IF(Text!$AV$32=-1,TRUE,FALSE)</xm:f>
            <x14:dxf>
              <font>
                <color rgb="FFFF0000"/>
              </font>
            </x14:dxf>
          </x14:cfRule>
          <x14:cfRule type="expression" priority="97" id="{DE2C2AED-E41C-4B61-86FB-BDC48B09BF86}">
            <xm:f>IF(Text!$AV$32=1,TRUE,FALSE)</xm:f>
            <x14:dxf>
              <font>
                <color theme="9" tint="-0.24994659260841701"/>
              </font>
            </x14:dxf>
          </x14:cfRule>
          <x14:cfRule type="expression" priority="98" id="{0F787396-3303-4550-B904-BE2C316CD2DC}">
            <xm:f>IF(Text!$AV$32=2,TRUE,FALSE)</xm:f>
            <x14:dxf>
              <font>
                <b/>
                <i val="0"/>
                <strike/>
                <color theme="9" tint="-0.24994659260841701"/>
              </font>
            </x14:dxf>
          </x14:cfRule>
          <xm:sqref>U484</xm:sqref>
        </x14:conditionalFormatting>
        <x14:conditionalFormatting xmlns:xm="http://schemas.microsoft.com/office/excel/2006/main">
          <x14:cfRule type="expression" priority="83" id="{806BEE63-6DAB-4367-910F-A193CA108FAB}">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84" id="{5DD8193B-EC82-44A1-A571-4DC288CD6EC7}">
            <xm:f>IF(Text!$AS$25=-1,TRUE,FALSE)</xm:f>
            <x14:dxf>
              <font>
                <color rgb="FFFF0000"/>
              </font>
            </x14:dxf>
          </x14:cfRule>
          <x14:cfRule type="expression" priority="85" id="{FC718A51-D5AF-4390-90AD-82BB35470865}">
            <xm:f>IF(Text!$AS$25=1,TRUE,FALSE)</xm:f>
            <x14:dxf>
              <font>
                <color theme="9" tint="-0.24994659260841701"/>
              </font>
            </x14:dxf>
          </x14:cfRule>
          <x14:cfRule type="expression" priority="86" id="{2091F483-2EF2-4901-A9C8-501854DCB7BC}">
            <xm:f>IF(Text!$AS$25=2,TRUE,FALSE)</xm:f>
            <x14:dxf>
              <font>
                <b/>
                <i val="0"/>
                <strike/>
                <color theme="9" tint="-0.24994659260841701"/>
              </font>
            </x14:dxf>
          </x14:cfRule>
          <xm:sqref>O493</xm:sqref>
        </x14:conditionalFormatting>
        <x14:conditionalFormatting xmlns:xm="http://schemas.microsoft.com/office/excel/2006/main">
          <x14:cfRule type="expression" priority="87" id="{A2F4A757-7FE6-4CA7-9872-BA4BAF1D1A54}">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88" id="{A56F007A-C6ED-4742-8E36-EC7D410B24DE}">
            <xm:f>IF(Text!$AV$25=-1,TRUE,FALSE)</xm:f>
            <x14:dxf>
              <font>
                <color rgb="FFFF0000"/>
              </font>
            </x14:dxf>
          </x14:cfRule>
          <x14:cfRule type="expression" priority="89" id="{B9B07D71-AA0E-4DD4-B427-7B433CAA2534}">
            <xm:f>IF(Text!$AV$25=1,TRUE,FALSE)</xm:f>
            <x14:dxf>
              <font>
                <color theme="9" tint="-0.24994659260841701"/>
              </font>
            </x14:dxf>
          </x14:cfRule>
          <x14:cfRule type="expression" priority="90" id="{666A73A6-C79B-4AA5-9856-AB014C573254}">
            <xm:f>IF(Text!$AV$25=2,TRUE,FALSE)</xm:f>
            <x14:dxf>
              <font>
                <b/>
                <i val="0"/>
                <strike/>
                <color theme="9" tint="-0.24994659260841701"/>
              </font>
            </x14:dxf>
          </x14:cfRule>
          <xm:sqref>R493</xm:sqref>
        </x14:conditionalFormatting>
        <x14:conditionalFormatting xmlns:xm="http://schemas.microsoft.com/office/excel/2006/main">
          <x14:cfRule type="expression" priority="91" id="{97B8849A-BD58-4E32-989F-90C6025C3514}">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92" id="{DE56F91F-466F-4F63-964D-1883CD660BB1}">
            <xm:f>IF(Text!$AV$24=-1,TRUE,FALSE)</xm:f>
            <x14:dxf>
              <font>
                <color rgb="FFFF0000"/>
              </font>
            </x14:dxf>
          </x14:cfRule>
          <x14:cfRule type="expression" priority="93" id="{B3B89761-B9C5-4A80-A0EC-A82F202700C3}">
            <xm:f>IF(Text!$AV$24=1,TRUE,FALSE)</xm:f>
            <x14:dxf>
              <font>
                <color theme="9" tint="-0.24994659260841701"/>
              </font>
            </x14:dxf>
          </x14:cfRule>
          <x14:cfRule type="expression" priority="94" id="{3B221262-9D35-41A3-BEE1-824AD2EFEB85}">
            <xm:f>IF(Text!$AV$24=2,TRUE,FALSE)</xm:f>
            <x14:dxf>
              <font>
                <b/>
                <i val="0"/>
                <strike/>
                <color theme="9" tint="-0.24994659260841701"/>
              </font>
            </x14:dxf>
          </x14:cfRule>
          <xm:sqref>R491:R492</xm:sqref>
        </x14:conditionalFormatting>
        <x14:conditionalFormatting xmlns:xm="http://schemas.microsoft.com/office/excel/2006/main">
          <x14:cfRule type="expression" priority="71" id="{62735891-98B4-4DDD-BD5D-EEBE284AC5FB}">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72" id="{FA10C9B1-EDBC-484D-BDC7-D299B3B06C3F}">
            <xm:f>IF(Text!$AS$25=-1,TRUE,FALSE)</xm:f>
            <x14:dxf>
              <font>
                <color rgb="FFFF0000"/>
              </font>
            </x14:dxf>
          </x14:cfRule>
          <x14:cfRule type="expression" priority="73" id="{8E5BD67C-B95A-4E43-8B24-E097757ECB55}">
            <xm:f>IF(Text!$AS$25=1,TRUE,FALSE)</xm:f>
            <x14:dxf>
              <font>
                <color theme="9" tint="-0.24994659260841701"/>
              </font>
            </x14:dxf>
          </x14:cfRule>
          <x14:cfRule type="expression" priority="74" id="{9A29E274-F923-4553-B2AC-4F0765B80992}">
            <xm:f>IF(Text!$AS$25=2,TRUE,FALSE)</xm:f>
            <x14:dxf>
              <font>
                <b/>
                <i val="0"/>
                <strike/>
                <color theme="9" tint="-0.24994659260841701"/>
              </font>
            </x14:dxf>
          </x14:cfRule>
          <xm:sqref>O497</xm:sqref>
        </x14:conditionalFormatting>
        <x14:conditionalFormatting xmlns:xm="http://schemas.microsoft.com/office/excel/2006/main">
          <x14:cfRule type="expression" priority="75" id="{3DE67BD3-A3DC-4B5D-9086-CD258CB417FC}">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76" id="{1E21B65E-7145-4016-8521-4B8D02C00BA2}">
            <xm:f>IF(Text!$AV$25=-1,TRUE,FALSE)</xm:f>
            <x14:dxf>
              <font>
                <color rgb="FFFF0000"/>
              </font>
            </x14:dxf>
          </x14:cfRule>
          <x14:cfRule type="expression" priority="77" id="{1E5F4DB6-E7DE-41EC-AF04-D9F26C7036A3}">
            <xm:f>IF(Text!$AV$25=1,TRUE,FALSE)</xm:f>
            <x14:dxf>
              <font>
                <color theme="9" tint="-0.24994659260841701"/>
              </font>
            </x14:dxf>
          </x14:cfRule>
          <x14:cfRule type="expression" priority="78" id="{254C7D82-F252-4DF6-A09A-975A0850FD21}">
            <xm:f>IF(Text!$AV$25=2,TRUE,FALSE)</xm:f>
            <x14:dxf>
              <font>
                <b/>
                <i val="0"/>
                <strike/>
                <color theme="9" tint="-0.24994659260841701"/>
              </font>
            </x14:dxf>
          </x14:cfRule>
          <xm:sqref>R497</xm:sqref>
        </x14:conditionalFormatting>
        <x14:conditionalFormatting xmlns:xm="http://schemas.microsoft.com/office/excel/2006/main">
          <x14:cfRule type="expression" priority="79" id="{C52841DB-B426-41B0-8480-49FA2CD22125}">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80" id="{D14A5874-A457-4FEE-A72C-6C083195CDBD}">
            <xm:f>IF(Text!$AV$24=-1,TRUE,FALSE)</xm:f>
            <x14:dxf>
              <font>
                <color rgb="FFFF0000"/>
              </font>
            </x14:dxf>
          </x14:cfRule>
          <x14:cfRule type="expression" priority="81" id="{C2885CEE-043A-4D24-9E44-DAA58711786D}">
            <xm:f>IF(Text!$AV$24=1,TRUE,FALSE)</xm:f>
            <x14:dxf>
              <font>
                <color theme="9" tint="-0.24994659260841701"/>
              </font>
            </x14:dxf>
          </x14:cfRule>
          <x14:cfRule type="expression" priority="82" id="{25F445A8-ECE3-49A2-827C-375772C42C7A}">
            <xm:f>IF(Text!$AV$24=2,TRUE,FALSE)</xm:f>
            <x14:dxf>
              <font>
                <b/>
                <i val="0"/>
                <strike/>
                <color theme="9" tint="-0.24994659260841701"/>
              </font>
            </x14:dxf>
          </x14:cfRule>
          <xm:sqref>R496</xm:sqref>
        </x14:conditionalFormatting>
        <x14:conditionalFormatting xmlns:xm="http://schemas.microsoft.com/office/excel/2006/main">
          <x14:cfRule type="expression" priority="59" id="{26B8D3F4-967B-4A26-A3B7-BA13B69BFC0B}">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60" id="{9B15AEF7-98C3-4CD4-955A-0038C50BFE64}">
            <xm:f>IF(Text!$AS$25=-1,TRUE,FALSE)</xm:f>
            <x14:dxf>
              <font>
                <color rgb="FFFF0000"/>
              </font>
            </x14:dxf>
          </x14:cfRule>
          <x14:cfRule type="expression" priority="61" id="{2224D04F-3B4C-4DC7-905F-385839789C7C}">
            <xm:f>IF(Text!$AS$25=1,TRUE,FALSE)</xm:f>
            <x14:dxf>
              <font>
                <color theme="9" tint="-0.24994659260841701"/>
              </font>
            </x14:dxf>
          </x14:cfRule>
          <x14:cfRule type="expression" priority="62" id="{8D882A32-9634-4184-9D62-60B7C93D8F76}">
            <xm:f>IF(Text!$AS$25=2,TRUE,FALSE)</xm:f>
            <x14:dxf>
              <font>
                <b/>
                <i val="0"/>
                <strike/>
                <color theme="9" tint="-0.24994659260841701"/>
              </font>
            </x14:dxf>
          </x14:cfRule>
          <xm:sqref>O508</xm:sqref>
        </x14:conditionalFormatting>
        <x14:conditionalFormatting xmlns:xm="http://schemas.microsoft.com/office/excel/2006/main">
          <x14:cfRule type="expression" priority="63" id="{9E88C823-D368-493D-8D5D-26A05B61873F}">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64" id="{7D476CD4-B4E4-4108-89CF-D5C1A67E893C}">
            <xm:f>IF(Text!$AV$25=-1,TRUE,FALSE)</xm:f>
            <x14:dxf>
              <font>
                <color rgb="FFFF0000"/>
              </font>
            </x14:dxf>
          </x14:cfRule>
          <x14:cfRule type="expression" priority="65" id="{AAF154D4-783B-4AF5-90E2-09CFCF6B8CBE}">
            <xm:f>IF(Text!$AV$25=1,TRUE,FALSE)</xm:f>
            <x14:dxf>
              <font>
                <color theme="9" tint="-0.24994659260841701"/>
              </font>
            </x14:dxf>
          </x14:cfRule>
          <x14:cfRule type="expression" priority="66" id="{30473E9C-43B5-4561-AB61-ABE4BE261F59}">
            <xm:f>IF(Text!$AV$25=2,TRUE,FALSE)</xm:f>
            <x14:dxf>
              <font>
                <b/>
                <i val="0"/>
                <strike/>
                <color theme="9" tint="-0.24994659260841701"/>
              </font>
            </x14:dxf>
          </x14:cfRule>
          <xm:sqref>R508</xm:sqref>
        </x14:conditionalFormatting>
        <x14:conditionalFormatting xmlns:xm="http://schemas.microsoft.com/office/excel/2006/main">
          <x14:cfRule type="expression" priority="67" id="{D7939EBE-EACA-41D8-895D-061BA94F975F}">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68" id="{AF9F53F7-FA84-48D4-B1D9-FBBA1AD25829}">
            <xm:f>IF(Text!$AV$24=-1,TRUE,FALSE)</xm:f>
            <x14:dxf>
              <font>
                <color rgb="FFFF0000"/>
              </font>
            </x14:dxf>
          </x14:cfRule>
          <x14:cfRule type="expression" priority="69" id="{9B3B5BDF-785E-44A1-8EB5-55C6A5D22A50}">
            <xm:f>IF(Text!$AV$24=1,TRUE,FALSE)</xm:f>
            <x14:dxf>
              <font>
                <color theme="9" tint="-0.24994659260841701"/>
              </font>
            </x14:dxf>
          </x14:cfRule>
          <x14:cfRule type="expression" priority="70" id="{6A8BAA46-C2DF-4ECA-9354-BACB279ADC8B}">
            <xm:f>IF(Text!$AV$24=2,TRUE,FALSE)</xm:f>
            <x14:dxf>
              <font>
                <b/>
                <i val="0"/>
                <strike/>
                <color theme="9" tint="-0.24994659260841701"/>
              </font>
            </x14:dxf>
          </x14:cfRule>
          <xm:sqref>R506:R507</xm:sqref>
        </x14:conditionalFormatting>
        <x14:conditionalFormatting xmlns:xm="http://schemas.microsoft.com/office/excel/2006/main">
          <x14:cfRule type="expression" priority="47" id="{1C23DC7A-BA2B-4087-B8FB-82BA03795B40}">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8" id="{4EA2054B-2D62-4FC8-B2F1-D6F06A8A304D}">
            <xm:f>IF(Text!$AS$25=-1,TRUE,FALSE)</xm:f>
            <x14:dxf>
              <font>
                <color rgb="FFFF0000"/>
              </font>
            </x14:dxf>
          </x14:cfRule>
          <x14:cfRule type="expression" priority="49" id="{2DAD9FB8-B3A3-4724-9403-E7DE4B9644EF}">
            <xm:f>IF(Text!$AS$25=1,TRUE,FALSE)</xm:f>
            <x14:dxf>
              <font>
                <color theme="9" tint="-0.24994659260841701"/>
              </font>
            </x14:dxf>
          </x14:cfRule>
          <x14:cfRule type="expression" priority="50" id="{046FE269-DE0E-4F16-AAD6-59762EC9E9FA}">
            <xm:f>IF(Text!$AS$25=2,TRUE,FALSE)</xm:f>
            <x14:dxf>
              <font>
                <b/>
                <i val="0"/>
                <strike/>
                <color theme="9" tint="-0.24994659260841701"/>
              </font>
            </x14:dxf>
          </x14:cfRule>
          <xm:sqref>O512</xm:sqref>
        </x14:conditionalFormatting>
        <x14:conditionalFormatting xmlns:xm="http://schemas.microsoft.com/office/excel/2006/main">
          <x14:cfRule type="expression" priority="51" id="{4010C9FC-7F8F-4370-97FC-4A716ABD5F1A}">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52" id="{0D188AD4-E405-41A4-81D8-736380AAEE8B}">
            <xm:f>IF(Text!$AV$25=-1,TRUE,FALSE)</xm:f>
            <x14:dxf>
              <font>
                <color rgb="FFFF0000"/>
              </font>
            </x14:dxf>
          </x14:cfRule>
          <x14:cfRule type="expression" priority="53" id="{BA0F1C52-098A-44F9-A410-D88E0095386B}">
            <xm:f>IF(Text!$AV$25=1,TRUE,FALSE)</xm:f>
            <x14:dxf>
              <font>
                <color theme="9" tint="-0.24994659260841701"/>
              </font>
            </x14:dxf>
          </x14:cfRule>
          <x14:cfRule type="expression" priority="54" id="{1A3E147E-6F10-4F8B-9B94-822B41EA1E7E}">
            <xm:f>IF(Text!$AV$25=2,TRUE,FALSE)</xm:f>
            <x14:dxf>
              <font>
                <b/>
                <i val="0"/>
                <strike/>
                <color theme="9" tint="-0.24994659260841701"/>
              </font>
            </x14:dxf>
          </x14:cfRule>
          <xm:sqref>R512</xm:sqref>
        </x14:conditionalFormatting>
        <x14:conditionalFormatting xmlns:xm="http://schemas.microsoft.com/office/excel/2006/main">
          <x14:cfRule type="expression" priority="55" id="{9DB6FE47-14F3-4FEC-971F-E87946DE524A}">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56" id="{127C74D8-4ECC-4520-95EB-59FA75347953}">
            <xm:f>IF(Text!$AV$24=-1,TRUE,FALSE)</xm:f>
            <x14:dxf>
              <font>
                <color rgb="FFFF0000"/>
              </font>
            </x14:dxf>
          </x14:cfRule>
          <x14:cfRule type="expression" priority="57" id="{651902E2-5550-41EB-9384-AA5A79424C35}">
            <xm:f>IF(Text!$AV$24=1,TRUE,FALSE)</xm:f>
            <x14:dxf>
              <font>
                <color theme="9" tint="-0.24994659260841701"/>
              </font>
            </x14:dxf>
          </x14:cfRule>
          <x14:cfRule type="expression" priority="58" id="{CAF5DE1C-26FC-404C-9AE8-2C5193527AE3}">
            <xm:f>IF(Text!$AV$24=2,TRUE,FALSE)</xm:f>
            <x14:dxf>
              <font>
                <b/>
                <i val="0"/>
                <strike/>
                <color theme="9" tint="-0.24994659260841701"/>
              </font>
            </x14:dxf>
          </x14:cfRule>
          <xm:sqref>R511</xm:sqref>
        </x14:conditionalFormatting>
        <x14:conditionalFormatting xmlns:xm="http://schemas.microsoft.com/office/excel/2006/main">
          <x14:cfRule type="expression" priority="35" id="{B3A0C71B-2992-496C-A7DE-DA540DE90F9A}">
            <xm:f>IF(Text!$AS$25=-2,TRUE,FALSE)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36" id="{A96915F5-D838-4304-9D04-F9E006C5C734}">
            <xm:f>IF(Text!$AS$25=-1,TRUE,FALSE)</xm:f>
            <x14:dxf>
              <font>
                <color rgb="FFFF0000"/>
              </font>
            </x14:dxf>
          </x14:cfRule>
          <x14:cfRule type="expression" priority="37" id="{6D57DB81-3748-4E88-B01A-B8B72857CAED}">
            <xm:f>IF(Text!$AS$25=1,TRUE,FALSE)</xm:f>
            <x14:dxf>
              <font>
                <color theme="9" tint="-0.24994659260841701"/>
              </font>
            </x14:dxf>
          </x14:cfRule>
          <x14:cfRule type="expression" priority="38" id="{B70731D5-8BA0-418A-B132-AB77A3F8B0B1}">
            <xm:f>IF(Text!$AS$25=2,TRUE,FALSE)</xm:f>
            <x14:dxf>
              <font>
                <b/>
                <i val="0"/>
                <strike/>
                <color theme="9" tint="-0.24994659260841701"/>
              </font>
            </x14:dxf>
          </x14:cfRule>
          <xm:sqref>O523</xm:sqref>
        </x14:conditionalFormatting>
        <x14:conditionalFormatting xmlns:xm="http://schemas.microsoft.com/office/excel/2006/main">
          <x14:cfRule type="expression" priority="39" id="{8398C30A-C948-4E14-A477-8BE8E3A18181}">
            <xm:f>IF(Text!$AV$25=-2,TRUE,FALSE)</xm:f>
            <x14:dxf>
              <font>
                <b/>
                <i val="0"/>
                <color rgb="FFFF0000"/>
              </font>
              <border>
                <left style="thin">
                  <color rgb="FFFF0000"/>
                </left>
                <right style="thin">
                  <color rgb="FFFF0000"/>
                </right>
                <top style="thin">
                  <color rgb="FFFF0000"/>
                </top>
                <bottom style="thin">
                  <color rgb="FFFF0000"/>
                </bottom>
              </border>
            </x14:dxf>
          </x14:cfRule>
          <x14:cfRule type="expression" priority="40" id="{FCB0AF96-D004-4963-AA80-D354D043743B}">
            <xm:f>IF(Text!$AV$25=-1,TRUE,FALSE)</xm:f>
            <x14:dxf>
              <font>
                <color rgb="FFFF0000"/>
              </font>
            </x14:dxf>
          </x14:cfRule>
          <x14:cfRule type="expression" priority="41" id="{9B88BC6E-D8F4-4C44-AFF7-E5385DCEBC56}">
            <xm:f>IF(Text!$AV$25=1,TRUE,FALSE)</xm:f>
            <x14:dxf>
              <font>
                <color theme="9" tint="-0.24994659260841701"/>
              </font>
            </x14:dxf>
          </x14:cfRule>
          <x14:cfRule type="expression" priority="42" id="{53F3F234-5E3F-49E3-BAAD-E748BE25BC7A}">
            <xm:f>IF(Text!$AV$25=2,TRUE,FALSE)</xm:f>
            <x14:dxf>
              <font>
                <b/>
                <i val="0"/>
                <strike/>
                <color theme="9" tint="-0.24994659260841701"/>
              </font>
            </x14:dxf>
          </x14:cfRule>
          <xm:sqref>R523</xm:sqref>
        </x14:conditionalFormatting>
        <x14:conditionalFormatting xmlns:xm="http://schemas.microsoft.com/office/excel/2006/main">
          <x14:cfRule type="expression" priority="43" id="{91F4490C-ABB0-474A-ABDE-4927F95361E8}">
            <xm:f>IF(Text!$AV$24=-2,TRUE,FALSE)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44" id="{052AB52A-BCB3-4FA1-86CD-9192FAAFD7A7}">
            <xm:f>IF(Text!$AV$24=-1,TRUE,FALSE)</xm:f>
            <x14:dxf>
              <font>
                <color rgb="FFFF0000"/>
              </font>
            </x14:dxf>
          </x14:cfRule>
          <x14:cfRule type="expression" priority="45" id="{9DEAFDAA-8CCD-41D0-8E83-7024213A7BD1}">
            <xm:f>IF(Text!$AV$24=1,TRUE,FALSE)</xm:f>
            <x14:dxf>
              <font>
                <color theme="9" tint="-0.24994659260841701"/>
              </font>
            </x14:dxf>
          </x14:cfRule>
          <x14:cfRule type="expression" priority="46" id="{3F940588-CF65-4AC8-8FE1-A2B19883E6CE}">
            <xm:f>IF(Text!$AV$24=2,TRUE,FALSE)</xm:f>
            <x14:dxf>
              <font>
                <b/>
                <i val="0"/>
                <strike/>
                <color theme="9" tint="-0.24994659260841701"/>
              </font>
            </x14:dxf>
          </x14:cfRule>
          <xm:sqref>R522</xm:sqref>
        </x14:conditionalFormatting>
        <x14:conditionalFormatting xmlns:xm="http://schemas.microsoft.com/office/excel/2006/main">
          <x14:cfRule type="expression" priority="180" id="{3400820B-283C-4592-96C4-FAAB39C98622}">
            <xm:f>IF(Text!$AS$23=-1,TRUE,FALSE)</xm:f>
            <x14:dxf>
              <font>
                <color rgb="FFFF0000"/>
              </font>
            </x14:dxf>
          </x14:cfRule>
          <x14:cfRule type="expression" priority="181" id="{82528561-9CFB-452E-880D-26594A059D4E}">
            <xm:f>IF(Text!$AS$23=1,TRUE,FALSE)</xm:f>
            <x14:dxf>
              <font>
                <color theme="9" tint="-0.24994659260841701"/>
              </font>
            </x14:dxf>
          </x14:cfRule>
          <x14:cfRule type="expression" priority="182" id="{E6D1CEDA-3E28-4172-A5C5-EA4489145CB7}">
            <xm:f>IF(Text!$AS$23=2,TRUE,FALSE)</xm:f>
            <x14:dxf>
              <font>
                <b/>
                <i val="0"/>
                <strike/>
                <color theme="9" tint="-0.24994659260841701"/>
              </font>
            </x14:dxf>
          </x14:cfRule>
          <xm:sqref>H465</xm:sqref>
        </x14:conditionalFormatting>
        <x14:conditionalFormatting xmlns:xm="http://schemas.microsoft.com/office/excel/2006/main">
          <x14:cfRule type="expression" priority="243" id="{8B7BF9D2-5479-4FC3-B5E6-814CD5A6F833}">
            <xm:f>IF(Tool!$H$18="Pre-Check",TRUE,FALSE)</xm:f>
            <x14:dxf>
              <fill>
                <patternFill>
                  <bgColor rgb="FFF0F0F0"/>
                </patternFill>
              </fill>
            </x14:dxf>
          </x14:cfRule>
          <xm:sqref>U465:U469 U471:U472 U475 U482 U484</xm:sqref>
        </x14:conditionalFormatting>
        <x14:conditionalFormatting xmlns:xm="http://schemas.microsoft.com/office/excel/2006/main">
          <x14:cfRule type="expression" priority="244" id="{D63C40EC-5A28-497B-B504-76980792692D}">
            <xm:f>IF(Tool!$H$18="Pre-Check",TRUE,FALSE)</xm:f>
            <x14:dxf>
              <fill>
                <patternFill>
                  <bgColor rgb="FFF0F0F0"/>
                </patternFill>
              </fill>
            </x14:dxf>
          </x14:cfRule>
          <x14:cfRule type="expression" priority="246" id="{531E6A3D-94D4-4C15-88F6-CC47E2F7C5AE}">
            <xm:f>IF(Text!$AV$38=-1,TRUE,FALSE)</xm:f>
            <x14:dxf>
              <font>
                <color rgb="FFFF0000"/>
              </font>
            </x14:dxf>
          </x14:cfRule>
          <x14:cfRule type="expression" priority="247" id="{A9929CDB-700B-4A3B-AF23-DDF56ADE1979}">
            <xm:f>IF(Text!$AV$38=1,TRUE,FALSE)</xm:f>
            <x14:dxf>
              <font>
                <color theme="9" tint="-0.24994659260841701"/>
              </font>
            </x14:dxf>
          </x14:cfRule>
          <x14:cfRule type="expression" priority="248" id="{ECEDAB61-FDD1-4BA1-8388-2FB6F82090EF}">
            <xm:f>IF(Text!$AV$38=2,TRUE,FALSE)</xm:f>
            <x14:dxf>
              <font>
                <b/>
                <i val="0"/>
                <strike/>
                <color theme="9" tint="-0.24994659260841701"/>
              </font>
            </x14:dxf>
          </x14:cfRule>
          <xm:sqref>U491</xm:sqref>
        </x14:conditionalFormatting>
        <x14:conditionalFormatting xmlns:xm="http://schemas.microsoft.com/office/excel/2006/main">
          <x14:cfRule type="expression" priority="254" id="{5EF10899-0F7E-4C27-9FD0-49420C373DD7}">
            <xm:f>IF(Tool!$H$18="Pre-Check",TRUE,FALSE)</xm:f>
            <x14:dxf>
              <fill>
                <patternFill>
                  <bgColor rgb="FFF0F0F0"/>
                </patternFill>
              </fill>
            </x14:dxf>
          </x14:cfRule>
          <x14:cfRule type="expression" priority="255" id="{61C5641B-0ABC-4E43-A998-521B3DD75C6D}">
            <xm:f>IF(Text!$AV$39=-2,TRUE,FALSE)</xm:f>
            <x14:dxf>
              <font>
                <b/>
                <i val="0"/>
                <color rgb="FFFF0000"/>
              </font>
              <border>
                <left style="thin">
                  <color rgb="FFFF0000"/>
                </left>
                <right style="thin">
                  <color rgb="FFFF0000"/>
                </right>
                <top style="thin">
                  <color rgb="FFFF0000"/>
                </top>
                <bottom style="thin">
                  <color rgb="FFFF0000"/>
                </bottom>
              </border>
            </x14:dxf>
          </x14:cfRule>
          <x14:cfRule type="expression" priority="256" id="{8DAB9586-2684-4EFF-B950-0E581CB8332F}">
            <xm:f>IF(Text!$AV$39=-1,TRUE,FALSE)</xm:f>
            <x14:dxf>
              <font>
                <color rgb="FFFF0000"/>
              </font>
            </x14:dxf>
          </x14:cfRule>
          <x14:cfRule type="expression" priority="257" id="{B7257DB4-0906-4726-B57B-A2CC44EBA6A4}">
            <xm:f>IF(Text!$AV$39=1,TRUE,FALSE)</xm:f>
            <x14:dxf>
              <font>
                <color theme="9" tint="-0.24994659260841701"/>
              </font>
            </x14:dxf>
          </x14:cfRule>
          <x14:cfRule type="expression" priority="258" id="{D5BE38D7-1BDE-4421-AFD4-24755BFF0738}">
            <xm:f>IF(Text!$AV$39=2,TRUE,FALSE)</xm:f>
            <x14:dxf>
              <font>
                <b/>
                <i val="0"/>
                <strike/>
                <color theme="9" tint="-0.24994659260841701"/>
              </font>
            </x14:dxf>
          </x14:cfRule>
          <xm:sqref>U510 U521 U514:U516 U519</xm:sqref>
        </x14:conditionalFormatting>
        <x14:conditionalFormatting xmlns:xm="http://schemas.microsoft.com/office/excel/2006/main">
          <x14:cfRule type="expression" priority="264" id="{FD88370E-2A22-4560-95A9-ABED7B883E3E}">
            <xm:f>IF(Tool!$H$18="Pre-Check",TRUE,FALSE)</xm:f>
            <x14:dxf>
              <fill>
                <patternFill>
                  <bgColor rgb="FFF0F0F0"/>
                </patternFill>
              </fill>
            </x14:dxf>
          </x14:cfRule>
          <x14:cfRule type="expression" priority="266" id="{B5C1282E-F221-4001-9F31-73BC4D3A0209}">
            <xm:f>IF(Text!$AV$47=-1,TRUE,FALSE)</xm:f>
            <x14:dxf>
              <font>
                <color rgb="FFFF0000"/>
              </font>
            </x14:dxf>
          </x14:cfRule>
          <x14:cfRule type="expression" priority="267" id="{22481DF7-3258-4BF3-86E5-9AD77EE741F9}">
            <xm:f>IF(Text!$AV$47=1,TRUE,FALSE)</xm:f>
            <x14:dxf>
              <font>
                <color theme="9" tint="-0.24994659260841701"/>
              </font>
            </x14:dxf>
          </x14:cfRule>
          <x14:cfRule type="expression" priority="268" id="{2FC330A1-021B-4ED4-B5E4-993E9CCE913C}">
            <xm:f>IF(Text!$AV$47=2,TRUE,FALSE)</xm:f>
            <x14:dxf>
              <font>
                <b/>
                <i val="0"/>
                <strike/>
                <color theme="9" tint="-0.24994659260841701"/>
              </font>
            </x14:dxf>
          </x14:cfRule>
          <xm:sqref>U511</xm:sqref>
        </x14:conditionalFormatting>
        <x14:conditionalFormatting xmlns:xm="http://schemas.microsoft.com/office/excel/2006/main">
          <x14:cfRule type="expression" priority="269" id="{001467E8-FDB3-4610-8523-9AEF855C64D7}">
            <xm:f>IF(Tool!$H$18="Pre-Check",TRUE,FALSE)</xm:f>
            <x14:dxf>
              <fill>
                <patternFill>
                  <bgColor rgb="FFF0F0F0"/>
                </patternFill>
              </fill>
            </x14:dxf>
          </x14:cfRule>
          <x14:cfRule type="expression" priority="271" id="{4282A83C-926F-4E7D-861D-8FFED8F14529}">
            <xm:f>IF(Text!$AV$48=-1,TRUE,FALSE)</xm:f>
            <x14:dxf>
              <font>
                <color rgb="FFFF0000"/>
              </font>
            </x14:dxf>
          </x14:cfRule>
          <x14:cfRule type="expression" priority="272" id="{EEAD6E5D-401C-4315-9F1C-6B6A3FC21A95}">
            <xm:f>IF(Text!$AV$48=1,TRUE,FALSE)</xm:f>
            <x14:dxf>
              <font>
                <color theme="9" tint="-0.24994659260841701"/>
              </font>
            </x14:dxf>
          </x14:cfRule>
          <x14:cfRule type="expression" priority="273" id="{323A1DA8-B1D9-4FDD-B17B-59CBF7DF1FBB}">
            <xm:f>IF(Text!$AV$48=2,TRUE,FALSE)</xm:f>
            <x14:dxf>
              <font>
                <b/>
                <i val="0"/>
                <strike/>
                <color theme="9" tint="-0.24994659260841701"/>
              </font>
            </x14:dxf>
          </x14:cfRule>
          <xm:sqref>U517</xm:sqref>
        </x14:conditionalFormatting>
        <x14:conditionalFormatting xmlns:xm="http://schemas.microsoft.com/office/excel/2006/main">
          <x14:cfRule type="expression" priority="274" id="{BAEFB666-FA56-47FF-846B-917382467ABF}">
            <xm:f>IF(Tool!$H$18="Pre-Check",TRUE,FALSE)</xm:f>
            <x14:dxf>
              <fill>
                <patternFill>
                  <bgColor rgb="FFF0F0F0"/>
                </patternFill>
              </fill>
            </x14:dxf>
          </x14:cfRule>
          <x14:cfRule type="expression" priority="276" id="{FDF57377-F0E9-4EA2-9507-8B550AB0CE35}">
            <xm:f>IF(Text!$AV$49=-1,TRUE,FALSE)</xm:f>
            <x14:dxf>
              <font>
                <color rgb="FFFF0000"/>
              </font>
            </x14:dxf>
          </x14:cfRule>
          <x14:cfRule type="expression" priority="277" id="{0585DD2A-1005-4B05-A2C5-7B547FABACEC}">
            <xm:f>IF(Text!$AV$49=1,TRUE,FALSE)</xm:f>
            <x14:dxf>
              <font>
                <color theme="9" tint="-0.24994659260841701"/>
              </font>
            </x14:dxf>
          </x14:cfRule>
          <x14:cfRule type="expression" priority="278" id="{1413D88E-BE29-48DB-8962-814CEAAEF2AB}">
            <xm:f>IF(Text!$AV$49=2,TRUE,FALSE)</xm:f>
            <x14:dxf>
              <font>
                <b/>
                <i val="0"/>
                <strike/>
                <color theme="9" tint="-0.24994659260841701"/>
              </font>
            </x14:dxf>
          </x14:cfRule>
          <xm:sqref>U522</xm:sqref>
        </x14:conditionalFormatting>
        <x14:conditionalFormatting xmlns:xm="http://schemas.microsoft.com/office/excel/2006/main">
          <x14:cfRule type="expression" priority="279" id="{D760B518-392F-4D45-8E53-C01AA32DF357}">
            <xm:f>IF(Tool!$H$18="Pre-Check",TRUE,FALSE)</xm:f>
            <x14:dxf>
              <font>
                <color theme="0"/>
              </font>
              <fill>
                <patternFill>
                  <bgColor theme="0" tint="-0.34998626667073579"/>
                </patternFill>
              </fill>
            </x14:dxf>
          </x14:cfRule>
          <xm:sqref>U462 U488 U503 U525 U373 AA373:AB373 U375 AA375:AB375 U377 AA377:AB377 U379 AA379:AB379</xm:sqref>
        </x14:conditionalFormatting>
        <x14:conditionalFormatting xmlns:xm="http://schemas.microsoft.com/office/excel/2006/main">
          <x14:cfRule type="expression" priority="280" id="{B83D2851-CF82-4823-B98D-C0B213B452D3}">
            <xm:f>IF(Tool!$H$18="Pre-Check",TRUE,FALSE)</xm:f>
            <x14:dxf>
              <font>
                <color theme="1"/>
              </font>
              <fill>
                <patternFill>
                  <bgColor theme="0" tint="-0.14996795556505021"/>
                </patternFill>
              </fill>
              <border>
                <left style="thin">
                  <color theme="0" tint="-0.34998626667073579"/>
                </left>
                <right style="thin">
                  <color theme="0" tint="-0.34998626667073579"/>
                </right>
                <top style="thin">
                  <color theme="0" tint="-0.34998626667073579"/>
                </top>
                <bottom style="thin">
                  <color theme="0" tint="-0.34998626667073579"/>
                </bottom>
              </border>
            </x14:dxf>
          </x14:cfRule>
          <xm:sqref>AB490:AF501 AB505:AF523 AB464:AF485</xm:sqref>
        </x14:conditionalFormatting>
        <x14:conditionalFormatting xmlns:xm="http://schemas.microsoft.com/office/excel/2006/main">
          <x14:cfRule type="expression" priority="282" id="{30ADD694-ED7D-42C2-B0DA-B63D95616DF8}">
            <xm:f>IF(OR(Tool!$H$18="Klima-Check",Tool!$H$18="Check Climat",Tool!$H$18="Check Clima"),TRUE,FALSE)</xm:f>
            <x14:dxf>
              <font>
                <color theme="1"/>
              </font>
              <fill>
                <patternFill>
                  <bgColor theme="0" tint="-0.14996795556505021"/>
                </patternFill>
              </fill>
              <border>
                <left style="thin">
                  <color theme="0" tint="-0.34998626667073579"/>
                </left>
                <right style="thin">
                  <color theme="0" tint="-0.34998626667073579"/>
                </right>
                <top style="thin">
                  <color theme="0" tint="-0.34998626667073579"/>
                </top>
                <bottom style="thin">
                  <color theme="0" tint="-0.34998626667073579"/>
                </bottom>
              </border>
            </x14:dxf>
          </x14:cfRule>
          <xm:sqref>C498 C510</xm:sqref>
        </x14:conditionalFormatting>
        <x14:conditionalFormatting xmlns:xm="http://schemas.microsoft.com/office/excel/2006/main">
          <x14:cfRule type="expression" priority="286" id="{733BB5BD-2982-4F25-8002-8709ABFE5702}">
            <xm:f>IF(Text!$AS$38=-1,TRUE,FALSE)</xm:f>
            <x14:dxf>
              <font>
                <color rgb="FFFF0000"/>
              </font>
            </x14:dxf>
          </x14:cfRule>
          <x14:cfRule type="expression" priority="287" id="{88D6F0F1-D210-40C0-BEA2-EA0EC18CDD5F}">
            <xm:f>IF(Text!$AS$38=1,TRUE,FALSE)</xm:f>
            <x14:dxf>
              <font>
                <color theme="9" tint="-0.24994659260841701"/>
              </font>
            </x14:dxf>
          </x14:cfRule>
          <x14:cfRule type="expression" priority="288" id="{DF35D721-D2A1-43D7-9225-636BDF2CDE74}">
            <xm:f>IF(Text!$AS$38=2,TRUE,FALSE)</xm:f>
            <x14:dxf>
              <font>
                <b/>
                <i val="0"/>
                <strike/>
                <color theme="9" tint="-0.24994659260841701"/>
              </font>
            </x14:dxf>
          </x14:cfRule>
          <xm:sqref>H491</xm:sqref>
        </x14:conditionalFormatting>
        <x14:conditionalFormatting xmlns:xm="http://schemas.microsoft.com/office/excel/2006/main">
          <x14:cfRule type="expression" priority="296" id="{0302D9DA-9F92-4EE9-BDAB-7B3F3C20F001}">
            <xm:f>IF(Text!$AS$40=-1,TRUE,FALSE)</xm:f>
            <x14:dxf>
              <font>
                <color rgb="FFFF0000"/>
              </font>
            </x14:dxf>
          </x14:cfRule>
          <x14:cfRule type="expression" priority="297" id="{C06928DA-4811-467C-8FF0-F143D4388093}">
            <xm:f>IF(Text!$AS$40=1,TRUE,FALSE)</xm:f>
            <x14:dxf>
              <font>
                <color theme="9" tint="-0.24994659260841701"/>
              </font>
            </x14:dxf>
          </x14:cfRule>
          <x14:cfRule type="expression" priority="298" id="{3910983C-258F-4023-85D0-3BD76FFD4055}">
            <xm:f>IF(Text!$AS$40=2,TRUE,FALSE)</xm:f>
            <x14:dxf>
              <font>
                <b/>
                <i val="0"/>
                <strike/>
                <color theme="9" tint="-0.24994659260841701"/>
              </font>
            </x14:dxf>
          </x14:cfRule>
          <xm:sqref>H493</xm:sqref>
        </x14:conditionalFormatting>
        <x14:conditionalFormatting xmlns:xm="http://schemas.microsoft.com/office/excel/2006/main">
          <x14:cfRule type="expression" priority="321" id="{7DA7EB4C-9828-49EF-97DD-3C44AFC0E992}">
            <xm:f>IF(Text!$AS$46=-1,TRUE,FALSE)</xm:f>
            <x14:dxf>
              <font>
                <color rgb="FFFF0000"/>
              </font>
            </x14:dxf>
          </x14:cfRule>
          <x14:cfRule type="expression" priority="322" id="{408857D7-C9A5-4AAE-B3A9-54C601389A63}">
            <xm:f>IF(Text!$AS$46=1,TRUE,FALSE)</xm:f>
            <x14:dxf>
              <font>
                <color theme="9" tint="-0.24994659260841701"/>
              </font>
            </x14:dxf>
          </x14:cfRule>
          <x14:cfRule type="expression" priority="323" id="{2176AB7C-CCBF-4D5D-B776-0B7711B8C0E0}">
            <xm:f>IF(Text!$AS$46=2,TRUE,FALSE)</xm:f>
            <x14:dxf>
              <font>
                <b/>
                <i val="0"/>
                <strike/>
                <color theme="9" tint="-0.24994659260841701"/>
              </font>
            </x14:dxf>
          </x14:cfRule>
          <xm:sqref>H506</xm:sqref>
        </x14:conditionalFormatting>
        <x14:conditionalFormatting xmlns:xm="http://schemas.microsoft.com/office/excel/2006/main">
          <x14:cfRule type="expression" priority="326" id="{D0C9B383-0609-4571-B844-468DED0FA8D7}">
            <xm:f>IF(Text!$AS$47=-1,TRUE,FALSE)</xm:f>
            <x14:dxf>
              <font>
                <color rgb="FFFF0000"/>
              </font>
            </x14:dxf>
          </x14:cfRule>
          <x14:cfRule type="expression" priority="327" id="{F16E957F-FAE6-4F90-AC11-4BF5B169234B}">
            <xm:f>IF(Text!$AS$47=1,TRUE,FALSE)</xm:f>
            <x14:dxf>
              <font>
                <color theme="9" tint="-0.24994659260841701"/>
              </font>
            </x14:dxf>
          </x14:cfRule>
          <x14:cfRule type="expression" priority="328" id="{1F1F02AC-4BC6-4DF7-A55A-706D783C0FC0}">
            <xm:f>IF(Text!$AS$47=2,TRUE,FALSE)</xm:f>
            <x14:dxf>
              <font>
                <b/>
                <i val="0"/>
                <strike/>
                <color theme="9" tint="-0.24994659260841701"/>
              </font>
            </x14:dxf>
          </x14:cfRule>
          <xm:sqref>H507</xm:sqref>
        </x14:conditionalFormatting>
        <x14:conditionalFormatting xmlns:xm="http://schemas.microsoft.com/office/excel/2006/main">
          <x14:cfRule type="expression" priority="331" id="{EB28B51F-048C-4A55-9C74-E55A205DC7E3}">
            <xm:f>IF(Text!$AS$48=-1,TRUE,FALSE)</xm:f>
            <x14:dxf>
              <font>
                <color rgb="FFFF0000"/>
              </font>
            </x14:dxf>
          </x14:cfRule>
          <x14:cfRule type="expression" priority="332" id="{AAAF7C5F-3B6C-4CFE-904E-00A9DFAFC8D7}">
            <xm:f>IF(Text!$AS$48=1,TRUE,FALSE)</xm:f>
            <x14:dxf>
              <font>
                <color theme="9" tint="-0.24994659260841701"/>
              </font>
            </x14:dxf>
          </x14:cfRule>
          <x14:cfRule type="expression" priority="333" id="{103A0573-17C3-4EFC-A787-37B4E74153F1}">
            <xm:f>IF(Text!$AS$48=2,TRUE,FALSE)</xm:f>
            <x14:dxf>
              <font>
                <b/>
                <i val="0"/>
                <strike/>
                <color theme="9" tint="-0.24994659260841701"/>
              </font>
            </x14:dxf>
          </x14:cfRule>
          <xm:sqref>H508</xm:sqref>
        </x14:conditionalFormatting>
        <x14:conditionalFormatting xmlns:xm="http://schemas.microsoft.com/office/excel/2006/main">
          <x14:cfRule type="expression" priority="351" id="{AD55FDD3-18FC-4925-B0E0-8191C1B5D749}">
            <xm:f>IF(Text!$AS$52=-1,TRUE,FALSE)</xm:f>
            <x14:dxf>
              <font>
                <color rgb="FFFF0000"/>
              </font>
            </x14:dxf>
          </x14:cfRule>
          <x14:cfRule type="expression" priority="352" id="{9334896C-F575-4FA1-B081-9E0F3C24B2FD}">
            <xm:f>IF(Text!$AS$52=1,TRUE,FALSE)</xm:f>
            <x14:dxf>
              <font>
                <color theme="9" tint="-0.24994659260841701"/>
              </font>
            </x14:dxf>
          </x14:cfRule>
          <x14:cfRule type="expression" priority="353" id="{9EE68131-BDC3-402E-BBB7-C775A61144C7}">
            <xm:f>IF(Text!$AS$52=2,TRUE,FALSE)</xm:f>
            <x14:dxf>
              <font>
                <b/>
                <i val="0"/>
                <strike/>
                <color theme="9" tint="-0.24994659260841701"/>
              </font>
            </x14:dxf>
          </x14:cfRule>
          <xm:sqref>H515</xm:sqref>
        </x14:conditionalFormatting>
        <x14:conditionalFormatting xmlns:xm="http://schemas.microsoft.com/office/excel/2006/main">
          <x14:cfRule type="expression" priority="361" id="{D5B02A42-C1B6-44CF-8FB4-330ACCA0C3FC}">
            <xm:f>IF(Text!$AS$54=-1,TRUE,FALSE)</xm:f>
            <x14:dxf>
              <font>
                <color rgb="FFFF0000"/>
              </font>
            </x14:dxf>
          </x14:cfRule>
          <x14:cfRule type="expression" priority="362" id="{FC6ADF60-F6E2-4E97-B4B1-1C15CBAD0F9D}">
            <xm:f>IF(Text!$AS$54=1,TRUE,FALSE)</xm:f>
            <x14:dxf>
              <font>
                <color theme="9" tint="-0.24994659260841701"/>
              </font>
            </x14:dxf>
          </x14:cfRule>
          <x14:cfRule type="expression" priority="363" id="{24711C37-0AEB-4B34-AF47-1208D83F0C0F}">
            <xm:f>IF(Text!$AS$54=2,TRUE,FALSE)</xm:f>
            <x14:dxf>
              <font>
                <b/>
                <i val="0"/>
                <strike/>
                <color theme="9" tint="-0.24994659260841701"/>
              </font>
            </x14:dxf>
          </x14:cfRule>
          <xm:sqref>H517</xm:sqref>
        </x14:conditionalFormatting>
        <x14:conditionalFormatting xmlns:xm="http://schemas.microsoft.com/office/excel/2006/main">
          <x14:cfRule type="expression" priority="366" id="{42F81624-F4B9-4746-9BF3-6CA55AF509E7}">
            <xm:f>IF(Text!$AS$55=-1,TRUE,FALSE)</xm:f>
            <x14:dxf>
              <font>
                <color rgb="FFFF0000"/>
              </font>
            </x14:dxf>
          </x14:cfRule>
          <x14:cfRule type="expression" priority="367" id="{242B8C9A-E333-4902-BE2F-22193F162046}">
            <xm:f>IF(Text!$AS$55=1,TRUE,FALSE)</xm:f>
            <x14:dxf>
              <font>
                <color theme="9" tint="-0.24994659260841701"/>
              </font>
            </x14:dxf>
          </x14:cfRule>
          <x14:cfRule type="expression" priority="368" id="{2807F945-7428-4CD2-9D35-9189FC547829}">
            <xm:f>IF(Text!$AS$55=2,TRUE,FALSE)</xm:f>
            <x14:dxf>
              <font>
                <b/>
                <i val="0"/>
                <strike/>
                <color theme="9" tint="-0.24994659260841701"/>
              </font>
            </x14:dxf>
          </x14:cfRule>
          <xm:sqref>H518</xm:sqref>
        </x14:conditionalFormatting>
        <x14:conditionalFormatting xmlns:xm="http://schemas.microsoft.com/office/excel/2006/main">
          <x14:cfRule type="expression" priority="371" id="{8733E93B-C96F-44F9-AB7D-14B73E88B604}">
            <xm:f>IF(Text!$AS$56=-1,TRUE,FALSE)</xm:f>
            <x14:dxf>
              <font>
                <color rgb="FFFF0000"/>
              </font>
            </x14:dxf>
          </x14:cfRule>
          <x14:cfRule type="expression" priority="372" id="{76596433-C009-4B01-89B1-B16CF2DD541E}">
            <xm:f>IF(Text!$AS$56=1,TRUE,FALSE)</xm:f>
            <x14:dxf>
              <font>
                <color theme="9" tint="-0.24994659260841701"/>
              </font>
            </x14:dxf>
          </x14:cfRule>
          <x14:cfRule type="expression" priority="373" id="{A4147EBD-B752-4DFD-9138-A42C885A7F3E}">
            <xm:f>IF(Text!$AS$56=2,TRUE,FALSE)</xm:f>
            <x14:dxf>
              <font>
                <b/>
                <i val="0"/>
                <strike/>
                <color theme="9" tint="-0.24994659260841701"/>
              </font>
            </x14:dxf>
          </x14:cfRule>
          <xm:sqref>H519</xm:sqref>
        </x14:conditionalFormatting>
        <x14:conditionalFormatting xmlns:xm="http://schemas.microsoft.com/office/excel/2006/main">
          <x14:cfRule type="expression" priority="376" id="{B937ACDA-197C-4768-A057-B7015C6C8921}">
            <xm:f>IF(Text!$AS$57=-1,TRUE,FALSE)</xm:f>
            <x14:dxf>
              <font>
                <color rgb="FFFF0000"/>
              </font>
            </x14:dxf>
          </x14:cfRule>
          <x14:cfRule type="expression" priority="377" id="{8666016B-CECD-4965-B583-7FE4CBDAB11B}">
            <xm:f>IF(Text!$AS$57=1,TRUE,FALSE)</xm:f>
            <x14:dxf>
              <font>
                <color theme="9" tint="-0.24994659260841701"/>
              </font>
            </x14:dxf>
          </x14:cfRule>
          <x14:cfRule type="expression" priority="378" id="{BFF04605-4764-447C-B7B5-0AB843AA0049}">
            <xm:f>IF(Text!$AS$57=2,TRUE,FALSE)</xm:f>
            <x14:dxf>
              <font>
                <b/>
                <i val="0"/>
                <strike/>
                <color theme="9" tint="-0.24994659260841701"/>
              </font>
            </x14:dxf>
          </x14:cfRule>
          <xm:sqref>H521</xm:sqref>
        </x14:conditionalFormatting>
        <x14:conditionalFormatting xmlns:xm="http://schemas.microsoft.com/office/excel/2006/main">
          <x14:cfRule type="expression" priority="381" id="{1ED454E2-C742-40EE-A9F9-D6CADF74B2F3}">
            <xm:f>IF(Text!$AS$58=-1,TRUE,FALSE)</xm:f>
            <x14:dxf>
              <font>
                <color rgb="FFFF0000"/>
              </font>
            </x14:dxf>
          </x14:cfRule>
          <x14:cfRule type="expression" priority="382" id="{066F6F8C-47C2-4E76-8F0A-C216FDE1D2A8}">
            <xm:f>IF(Text!$AS$58=1,TRUE,FALSE)</xm:f>
            <x14:dxf>
              <font>
                <color theme="9" tint="-0.24994659260841701"/>
              </font>
            </x14:dxf>
          </x14:cfRule>
          <x14:cfRule type="expression" priority="383" id="{99B252DD-85D6-45E3-B917-5599AEA170C4}">
            <xm:f>IF(Text!$AS$58=2,TRUE,FALSE)</xm:f>
            <x14:dxf>
              <font>
                <b/>
                <i val="0"/>
                <strike/>
                <color theme="9" tint="-0.24994659260841701"/>
              </font>
            </x14:dxf>
          </x14:cfRule>
          <xm:sqref>H522</xm:sqref>
        </x14:conditionalFormatting>
        <x14:conditionalFormatting xmlns:xm="http://schemas.microsoft.com/office/excel/2006/main">
          <x14:cfRule type="expression" priority="390" id="{3FA8303D-7615-4C62-B93E-FEA5AB00F16F}">
            <xm:f>IF(Tool!$H$18="Pre-Check",TRUE,FALSE)</xm:f>
            <x14:dxf>
              <font>
                <color theme="0" tint="-0.34998626667073579"/>
              </font>
            </x14:dxf>
          </x14:cfRule>
          <xm:sqref>U459:AG461 U370</xm:sqref>
        </x14:conditionalFormatting>
        <x14:conditionalFormatting xmlns:xm="http://schemas.microsoft.com/office/excel/2006/main">
          <x14:cfRule type="expression" priority="275" id="{9184E312-190B-4B62-A63D-F1C87B63C8E6}">
            <xm:f>IF(Text!$AV$49=-2,TRUE,FALSE)</xm:f>
            <x14:dxf>
              <font>
                <b/>
                <i val="0"/>
                <color rgb="FFFF0000"/>
              </font>
              <border>
                <left style="thin">
                  <color rgb="FFFF0000"/>
                </left>
                <right style="thin">
                  <color rgb="FFFF0000"/>
                </right>
                <top style="thin">
                  <color rgb="FFFF0000"/>
                </top>
                <bottom style="thin">
                  <color rgb="FFFF0000"/>
                </bottom>
              </border>
            </x14:dxf>
          </x14:cfRule>
          <xm:sqref>U522:Y522</xm:sqref>
        </x14:conditionalFormatting>
        <x14:conditionalFormatting xmlns:xm="http://schemas.microsoft.com/office/excel/2006/main">
          <x14:cfRule type="expression" priority="270" id="{13143A32-2E25-43A2-84D0-9CC8AB53A372}">
            <xm:f>IF(Text!$AV$48=-2,TRUE,FALSE)</xm:f>
            <x14:dxf>
              <font>
                <b/>
                <i val="0"/>
                <color rgb="FFFF0000"/>
              </font>
              <border>
                <left style="thin">
                  <color rgb="FFFF0000"/>
                </left>
                <right style="thin">
                  <color rgb="FFFF0000"/>
                </right>
                <top style="thin">
                  <color rgb="FFFF0000"/>
                </top>
                <bottom style="thin">
                  <color rgb="FFFF0000"/>
                </bottom>
              </border>
            </x14:dxf>
          </x14:cfRule>
          <xm:sqref>U517:Y517</xm:sqref>
        </x14:conditionalFormatting>
        <x14:conditionalFormatting xmlns:xm="http://schemas.microsoft.com/office/excel/2006/main">
          <x14:cfRule type="expression" priority="265" id="{96BC67A3-87B2-4BD5-8167-4223F18C4899}">
            <xm:f>IF(Text!$AV$47=-2,TRUE,FALSE)</xm:f>
            <x14:dxf>
              <font>
                <b/>
                <i val="0"/>
                <color rgb="FFFF0000"/>
              </font>
              <border>
                <left style="thin">
                  <color rgb="FFFF0000"/>
                </left>
                <right style="thin">
                  <color rgb="FFFF0000"/>
                </right>
                <top style="thin">
                  <color rgb="FFFF0000"/>
                </top>
                <bottom style="thin">
                  <color rgb="FFFF0000"/>
                </bottom>
              </border>
            </x14:dxf>
          </x14:cfRule>
          <xm:sqref>U511:Y511</xm:sqref>
        </x14:conditionalFormatting>
        <x14:conditionalFormatting xmlns:xm="http://schemas.microsoft.com/office/excel/2006/main">
          <x14:cfRule type="expression" priority="259" id="{6FDF84F9-F4CC-47AD-B2C3-F541F2E2D3A9}">
            <xm:f>IF(Tool!$H$18="Pre-Check",TRUE,FALSE)</xm:f>
            <x14:dxf>
              <fill>
                <patternFill>
                  <bgColor rgb="FFF0F0F0"/>
                </patternFill>
              </fill>
            </x14:dxf>
          </x14:cfRule>
          <x14:cfRule type="expression" priority="261" id="{13FD51E2-626E-4FFD-8041-82629DB2236A}">
            <xm:f>IF(Text!$AV$46=-1,TRUE,FALSE)</xm:f>
            <x14:dxf>
              <font>
                <color rgb="FFFF0000"/>
              </font>
            </x14:dxf>
          </x14:cfRule>
          <x14:cfRule type="expression" priority="262" id="{EA3CF4CB-0D04-4963-833A-F92AA5AED83C}">
            <xm:f>IF(Text!$AV$46=1,TRUE,FALSE)</xm:f>
            <x14:dxf>
              <font>
                <color theme="9" tint="-0.24994659260841701"/>
              </font>
            </x14:dxf>
          </x14:cfRule>
          <x14:cfRule type="expression" priority="263" id="{37E022F9-0663-42FF-87BE-658BF34BC7BE}">
            <xm:f>IF(Text!$AV$46=2,TRUE,FALSE)</xm:f>
            <x14:dxf>
              <font>
                <b/>
                <i val="0"/>
                <strike/>
                <color theme="9" tint="-0.24994659260841701"/>
              </font>
            </x14:dxf>
          </x14:cfRule>
          <xm:sqref>U507</xm:sqref>
        </x14:conditionalFormatting>
        <x14:conditionalFormatting xmlns:xm="http://schemas.microsoft.com/office/excel/2006/main">
          <x14:cfRule type="expression" priority="260" id="{257BD9E7-9155-4B8D-9209-C5EE18C3155A}">
            <xm:f>IF(Text!$AV$46=-2,TRUE,FALSE)</xm:f>
            <x14:dxf>
              <font>
                <b/>
                <i val="0"/>
                <color rgb="FFFF0000"/>
              </font>
              <border>
                <left style="thin">
                  <color rgb="FFFF0000"/>
                </left>
                <right style="thin">
                  <color rgb="FFFF0000"/>
                </right>
                <top style="thin">
                  <color rgb="FFFF0000"/>
                </top>
                <bottom style="thin">
                  <color rgb="FFFF0000"/>
                </bottom>
              </border>
            </x14:dxf>
          </x14:cfRule>
          <xm:sqref>U507:Y507</xm:sqref>
        </x14:conditionalFormatting>
        <x14:conditionalFormatting xmlns:xm="http://schemas.microsoft.com/office/excel/2006/main">
          <x14:cfRule type="expression" priority="249" id="{2AE499B5-602D-4E6A-87CE-00E5A36CEFE1}">
            <xm:f>IF(Tool!$H$18="Pre-Check",TRUE,FALSE)</xm:f>
            <x14:dxf>
              <fill>
                <patternFill>
                  <bgColor rgb="FFF0F0F0"/>
                </patternFill>
              </fill>
            </x14:dxf>
          </x14:cfRule>
          <x14:cfRule type="expression" priority="251" id="{A2343A11-B3F4-4B86-8985-7D6BC1B0B16C}">
            <xm:f>IF(Text!$AV$40=-1,TRUE,FALSE)</xm:f>
            <x14:dxf>
              <font>
                <color rgb="FFFF0000"/>
              </font>
            </x14:dxf>
          </x14:cfRule>
          <x14:cfRule type="expression" priority="252" id="{083B5086-7433-4701-B7AD-660AB59FF7E4}">
            <xm:f>IF(Text!$AV$40=1,TRUE,FALSE)</xm:f>
            <x14:dxf>
              <font>
                <color theme="9" tint="-0.24994659260841701"/>
              </font>
            </x14:dxf>
          </x14:cfRule>
          <x14:cfRule type="expression" priority="253" id="{479480FB-97DE-485D-9127-421015A9C23C}">
            <xm:f>IF(Text!$AV$40=2,TRUE,FALSE)</xm:f>
            <x14:dxf>
              <font>
                <b/>
                <i val="0"/>
                <strike/>
                <color theme="9" tint="-0.24994659260841701"/>
              </font>
            </x14:dxf>
          </x14:cfRule>
          <xm:sqref>U497</xm:sqref>
        </x14:conditionalFormatting>
        <x14:conditionalFormatting xmlns:xm="http://schemas.microsoft.com/office/excel/2006/main">
          <x14:cfRule type="expression" priority="250" id="{628C2AA4-D0B7-453F-A762-F71DB2DA3FAA}">
            <xm:f>IF(Text!$AV$40=-2,TRUE,FALSE)</xm:f>
            <x14:dxf>
              <font>
                <b/>
                <i val="0"/>
                <color rgb="FFFF0000"/>
              </font>
              <border>
                <left style="thin">
                  <color rgb="FFFF0000"/>
                </left>
                <right style="thin">
                  <color rgb="FFFF0000"/>
                </right>
                <top style="thin">
                  <color rgb="FFFF0000"/>
                </top>
                <bottom style="thin">
                  <color rgb="FFFF0000"/>
                </bottom>
              </border>
            </x14:dxf>
          </x14:cfRule>
          <xm:sqref>U497:Y497</xm:sqref>
        </x14:conditionalFormatting>
        <x14:conditionalFormatting xmlns:xm="http://schemas.microsoft.com/office/excel/2006/main">
          <x14:cfRule type="expression" priority="30" id="{17D7346C-D775-4117-BF9B-76BF004E4656}">
            <xm:f>IF(Tool!$H$18="Pre-Check",TRUE,FALSE)</xm:f>
            <x14:dxf>
              <fill>
                <patternFill>
                  <bgColor rgb="FFF0F0F0"/>
                </patternFill>
              </fill>
            </x14:dxf>
          </x14:cfRule>
          <x14:cfRule type="expression" priority="32" id="{A5D6A780-41CA-4431-9662-55A2CF1D2AC7}">
            <xm:f>IF(Text!$AV$39=-1,TRUE,FALSE)</xm:f>
            <x14:dxf>
              <font>
                <color rgb="FFFF0000"/>
              </font>
            </x14:dxf>
          </x14:cfRule>
          <x14:cfRule type="expression" priority="33" id="{8CD4E4E8-8520-4F27-BB0E-04E6EC141E73}">
            <xm:f>IF(Text!$AV$39=1,TRUE,FALSE)</xm:f>
            <x14:dxf>
              <font>
                <color theme="9" tint="-0.24994659260841701"/>
              </font>
            </x14:dxf>
          </x14:cfRule>
          <x14:cfRule type="expression" priority="34" id="{11404D75-CF57-4238-AE45-FE1082E637B4}">
            <xm:f>IF(Text!$AV$39=2,TRUE,FALSE)</xm:f>
            <x14:dxf>
              <font>
                <b/>
                <i val="0"/>
                <strike/>
                <color theme="9" tint="-0.24994659260841701"/>
              </font>
            </x14:dxf>
          </x14:cfRule>
          <xm:sqref>U495</xm:sqref>
        </x14:conditionalFormatting>
        <x14:conditionalFormatting xmlns:xm="http://schemas.microsoft.com/office/excel/2006/main">
          <x14:cfRule type="expression" priority="31" id="{BF43F31D-F577-412C-9FDB-C679226ADF8F}">
            <xm:f>IF(Text!$AV$39=-2,TRUE,FALSE)</xm:f>
            <x14:dxf>
              <font>
                <b/>
                <i val="0"/>
                <color rgb="FFFF0000"/>
              </font>
              <border>
                <left style="thin">
                  <color rgb="FFFF0000"/>
                </left>
                <right style="thin">
                  <color rgb="FFFF0000"/>
                </right>
                <top style="thin">
                  <color rgb="FFFF0000"/>
                </top>
                <bottom style="thin">
                  <color rgb="FFFF0000"/>
                </bottom>
              </border>
            </x14:dxf>
          </x14:cfRule>
          <xm:sqref>U495:Y495</xm:sqref>
        </x14:conditionalFormatting>
        <x14:conditionalFormatting xmlns:xm="http://schemas.microsoft.com/office/excel/2006/main">
          <x14:cfRule type="expression" priority="245" id="{9DDEF66C-37AC-4B69-AF08-14D263DA9EC2}">
            <xm:f>IF(Text!$AV$38=-2,TRUE,FALSE)</xm:f>
            <x14:dxf>
              <font>
                <b/>
                <i val="0"/>
                <color rgb="FFFF0000"/>
              </font>
              <border>
                <left style="thin">
                  <color rgb="FFFF0000"/>
                </left>
                <right style="thin">
                  <color rgb="FFFF0000"/>
                </right>
                <top style="thin">
                  <color rgb="FFFF0000"/>
                </top>
                <bottom style="thin">
                  <color rgb="FFFF0000"/>
                </bottom>
              </border>
            </x14:dxf>
          </x14:cfRule>
          <xm:sqref>U491:Y491</xm:sqref>
        </x14:conditionalFormatting>
        <x14:conditionalFormatting xmlns:xm="http://schemas.microsoft.com/office/excel/2006/main">
          <x14:cfRule type="expression" priority="95" id="{A82D4D4A-8D6E-4A98-A01F-64B7A8345624}">
            <xm:f>IF(Text!$AV$32=-2,TRUE,FALSE)</xm:f>
            <x14:dxf>
              <font>
                <b/>
                <i val="0"/>
                <color rgb="FFFF0000"/>
              </font>
              <border>
                <left style="thin">
                  <color rgb="FFFF0000"/>
                </left>
                <right style="thin">
                  <color rgb="FFFF0000"/>
                </right>
                <top style="thin">
                  <color rgb="FFFF0000"/>
                </top>
                <bottom style="thin">
                  <color rgb="FFFF0000"/>
                </bottom>
              </border>
            </x14:dxf>
          </x14:cfRule>
          <xm:sqref>U484:Y484</xm:sqref>
        </x14:conditionalFormatting>
        <x14:conditionalFormatting xmlns:xm="http://schemas.microsoft.com/office/excel/2006/main">
          <x14:cfRule type="expression" priority="99" id="{9DC05191-1BFE-47CB-A17F-2581C3A61755}">
            <xm:f>IF(Text!$AV$31=-2,TRUE,FALSE)</xm:f>
            <x14:dxf>
              <font>
                <b/>
                <i val="0"/>
                <color rgb="FFFF0000"/>
              </font>
              <border>
                <left style="thin">
                  <color rgb="FFFF0000"/>
                </left>
                <right style="thin">
                  <color rgb="FFFF0000"/>
                </right>
                <top style="thin">
                  <color rgb="FFFF0000"/>
                </top>
                <bottom style="thin">
                  <color rgb="FFFF0000"/>
                </bottom>
              </border>
            </x14:dxf>
          </x14:cfRule>
          <xm:sqref>U482:Y482</xm:sqref>
        </x14:conditionalFormatting>
        <x14:conditionalFormatting xmlns:xm="http://schemas.microsoft.com/office/excel/2006/main">
          <x14:cfRule type="expression" priority="103" id="{85BA1CE5-0985-4775-96FB-FDD5DA02986F}">
            <xm:f>IF(Text!$AV$30=-2,TRUE,FALSE)</xm:f>
            <x14:dxf>
              <font>
                <b/>
                <i val="0"/>
                <color rgb="FFFF0000"/>
              </font>
              <border>
                <left style="thin">
                  <color rgb="FFFF0000"/>
                </left>
                <right style="thin">
                  <color rgb="FFFF0000"/>
                </right>
                <top style="thin">
                  <color rgb="FFFF0000"/>
                </top>
                <bottom style="thin">
                  <color rgb="FFFF0000"/>
                </bottom>
              </border>
            </x14:dxf>
          </x14:cfRule>
          <xm:sqref>U475:Y475</xm:sqref>
        </x14:conditionalFormatting>
        <x14:conditionalFormatting xmlns:xm="http://schemas.microsoft.com/office/excel/2006/main">
          <x14:cfRule type="expression" priority="107" id="{8A6DFB56-CBB0-44C8-BB5B-521B44BE2B93}">
            <xm:f>IF(Text!$AV$29=-2,TRUE,FALSE)</xm:f>
            <x14:dxf>
              <font>
                <b/>
                <i val="0"/>
                <color rgb="FFFF0000"/>
              </font>
              <border>
                <left style="thin">
                  <color rgb="FFFF0000"/>
                </left>
                <right style="thin">
                  <color rgb="FFFF0000"/>
                </right>
                <top style="thin">
                  <color rgb="FFFF0000"/>
                </top>
                <bottom style="thin">
                  <color rgb="FFFF0000"/>
                </bottom>
              </border>
            </x14:dxf>
          </x14:cfRule>
          <xm:sqref>U472:Y472</xm:sqref>
        </x14:conditionalFormatting>
        <x14:conditionalFormatting xmlns:xm="http://schemas.microsoft.com/office/excel/2006/main">
          <x14:cfRule type="expression" priority="111" id="{763A9ACE-AABF-492D-A202-B66617F362E1}">
            <xm:f>IF(Text!$AV$28=-2,TRUE,FALSE)</xm:f>
            <x14:dxf>
              <font>
                <b/>
                <i val="0"/>
                <color rgb="FFFF0000"/>
              </font>
              <border>
                <left style="thin">
                  <color rgb="FFFF0000"/>
                </left>
                <right style="thin">
                  <color rgb="FFFF0000"/>
                </right>
                <top style="thin">
                  <color rgb="FFFF0000"/>
                </top>
                <bottom style="thin">
                  <color rgb="FFFF0000"/>
                </bottom>
              </border>
            </x14:dxf>
          </x14:cfRule>
          <xm:sqref>U471:Y471</xm:sqref>
        </x14:conditionalFormatting>
        <x14:conditionalFormatting xmlns:xm="http://schemas.microsoft.com/office/excel/2006/main">
          <x14:cfRule type="expression" priority="123" id="{0620D695-B510-4125-A70C-5B2E40EA2ABF}">
            <xm:f>IF(Text!$AV$27=-2,TRUE,FALSE)</xm:f>
            <x14:dxf>
              <font>
                <b/>
                <i val="0"/>
                <color rgb="FFFF0000"/>
              </font>
              <border>
                <left style="thin">
                  <color rgb="FFFF0000"/>
                </left>
                <right style="thin">
                  <color rgb="FFFF0000"/>
                </right>
                <top style="thin">
                  <color rgb="FFFF0000"/>
                </top>
                <bottom style="thin">
                  <color rgb="FFFF0000"/>
                </bottom>
              </border>
            </x14:dxf>
          </x14:cfRule>
          <xm:sqref>U469:Y469</xm:sqref>
        </x14:conditionalFormatting>
        <x14:conditionalFormatting xmlns:xm="http://schemas.microsoft.com/office/excel/2006/main">
          <x14:cfRule type="expression" priority="127" id="{B0684B5F-39AA-4D1F-89E2-60684337A016}">
            <xm:f>IF(Text!$AV$26=-2,TRUE,FALSE)</xm:f>
            <x14:dxf>
              <font>
                <b/>
                <i val="0"/>
                <color rgb="FFFF0000"/>
              </font>
              <border>
                <left style="thin">
                  <color rgb="FFFF0000"/>
                </left>
                <right style="thin">
                  <color rgb="FFFF0000"/>
                </right>
                <top style="thin">
                  <color rgb="FFFF0000"/>
                </top>
                <bottom style="thin">
                  <color rgb="FFFF0000"/>
                </bottom>
              </border>
            </x14:dxf>
          </x14:cfRule>
          <xm:sqref>U468:Y468</xm:sqref>
        </x14:conditionalFormatting>
        <x14:conditionalFormatting xmlns:xm="http://schemas.microsoft.com/office/excel/2006/main">
          <x14:cfRule type="expression" priority="115" id="{52734430-CC48-444D-BFFC-1748D61CFECB}">
            <xm:f>IF(Text!$AV$25=-2,TRUE,FALSE)</xm:f>
            <x14:dxf>
              <font>
                <b/>
                <i val="0"/>
                <color rgb="FFFF0000"/>
              </font>
              <border>
                <left style="thin">
                  <color rgb="FFFF0000"/>
                </left>
                <right style="thin">
                  <color rgb="FFFF0000"/>
                </right>
                <top style="thin">
                  <color rgb="FFFF0000"/>
                </top>
                <bottom style="thin">
                  <color rgb="FFFF0000"/>
                </bottom>
              </border>
            </x14:dxf>
          </x14:cfRule>
          <xm:sqref>U467:Y467</xm:sqref>
        </x14:conditionalFormatting>
        <x14:conditionalFormatting xmlns:xm="http://schemas.microsoft.com/office/excel/2006/main">
          <x14:cfRule type="expression" priority="119" id="{74E9F3D5-3758-4851-918F-6F39DDF4E1DE}">
            <xm:f>IF(Text!$AV$24=-2,TRUE,FALSE)</xm:f>
            <x14:dxf>
              <font>
                <b/>
                <i val="0"/>
                <color rgb="FFFF0000"/>
              </font>
              <border>
                <left style="thin">
                  <color rgb="FFFF0000"/>
                </left>
                <right style="thin">
                  <color rgb="FFFF0000"/>
                </right>
                <top style="thin">
                  <color rgb="FFFF0000"/>
                </top>
                <bottom style="thin">
                  <color rgb="FFFF0000"/>
                </bottom>
              </border>
            </x14:dxf>
          </x14:cfRule>
          <xm:sqref>U466:Y466</xm:sqref>
        </x14:conditionalFormatting>
        <x14:conditionalFormatting xmlns:xm="http://schemas.microsoft.com/office/excel/2006/main">
          <x14:cfRule type="expression" priority="131" id="{7544A078-54D2-424E-8F8C-04016988819B}">
            <xm:f>IF(Text!$AV$23=-2,TRUE,FALSE)</xm:f>
            <x14:dxf>
              <font>
                <b/>
                <i val="0"/>
                <color rgb="FFFF0000"/>
              </font>
              <border>
                <left style="thin">
                  <color rgb="FFFF0000"/>
                </left>
                <right style="thin">
                  <color rgb="FFFF0000"/>
                </right>
                <top style="thin">
                  <color rgb="FFFF0000"/>
                </top>
                <bottom style="thin">
                  <color rgb="FFFF0000"/>
                </bottom>
              </border>
            </x14:dxf>
          </x14:cfRule>
          <xm:sqref>U465:Y465</xm:sqref>
        </x14:conditionalFormatting>
        <x14:conditionalFormatting xmlns:xm="http://schemas.microsoft.com/office/excel/2006/main">
          <x14:cfRule type="expression" priority="179" id="{4BC1777E-F4D1-4720-9F07-28CFA9C38E1D}">
            <xm:f>IF(Text!$AS$23=-2,TRUE,FALSE)</xm:f>
            <x14:dxf>
              <font>
                <b/>
                <i val="0"/>
                <color rgb="FFFF0000"/>
              </font>
              <border>
                <left style="thin">
                  <color rgb="FFFF0000"/>
                </left>
                <right style="thin">
                  <color rgb="FFFF0000"/>
                </right>
                <top style="thin">
                  <color rgb="FFFF0000"/>
                </top>
                <bottom style="thin">
                  <color rgb="FFFF0000"/>
                </bottom>
              </border>
            </x14:dxf>
          </x14:cfRule>
          <xm:sqref>H465:K465</xm:sqref>
        </x14:conditionalFormatting>
        <x14:conditionalFormatting xmlns:xm="http://schemas.microsoft.com/office/excel/2006/main">
          <x14:cfRule type="expression" priority="285" id="{3275096D-B4A8-4B73-9FA8-3197381942BB}">
            <xm:f>IF(Text!$AS$38=-2,TRUE,FALSE)</xm:f>
            <x14:dxf>
              <font>
                <b/>
                <i val="0"/>
                <color rgb="FFFF0000"/>
              </font>
              <border>
                <left style="thin">
                  <color rgb="FFFF0000"/>
                </left>
                <right style="thin">
                  <color rgb="FFFF0000"/>
                </right>
                <top style="thin">
                  <color rgb="FFFF0000"/>
                </top>
                <bottom style="thin">
                  <color rgb="FFFF0000"/>
                </bottom>
              </border>
            </x14:dxf>
          </x14:cfRule>
          <xm:sqref>H491:K491</xm:sqref>
        </x14:conditionalFormatting>
        <x14:conditionalFormatting xmlns:xm="http://schemas.microsoft.com/office/excel/2006/main">
          <x14:cfRule type="expression" priority="295" id="{A103CCBF-9F67-4416-9694-A96386054C26}">
            <xm:f>IF(Text!$AS$40=-2,TRUE,FALSE)</xm:f>
            <x14:dxf>
              <font>
                <b/>
                <i val="0"/>
                <color rgb="FFFF0000"/>
              </font>
              <border>
                <left style="thin">
                  <color rgb="FFFF0000"/>
                </left>
                <right style="thin">
                  <color rgb="FFFF0000"/>
                </right>
                <top style="thin">
                  <color rgb="FFFF0000"/>
                </top>
                <bottom style="thin">
                  <color rgb="FFFF0000"/>
                </bottom>
              </border>
            </x14:dxf>
          </x14:cfRule>
          <xm:sqref>H493:K493</xm:sqref>
        </x14:conditionalFormatting>
        <x14:conditionalFormatting xmlns:xm="http://schemas.microsoft.com/office/excel/2006/main">
          <x14:cfRule type="expression" priority="320" id="{4774DB52-739E-45E8-BE83-EA3FDD3AEEE6}">
            <xm:f>IF(Text!$AS$46=-2,TRUE,FALSE)</xm:f>
            <x14:dxf>
              <font>
                <b/>
                <i val="0"/>
                <color rgb="FFFF0000"/>
              </font>
              <border>
                <left style="thin">
                  <color rgb="FFFF0000"/>
                </left>
                <right style="thin">
                  <color rgb="FFFF0000"/>
                </right>
                <top style="thin">
                  <color rgb="FFFF0000"/>
                </top>
                <bottom style="thin">
                  <color rgb="FFFF0000"/>
                </bottom>
              </border>
            </x14:dxf>
          </x14:cfRule>
          <xm:sqref>H506:K506</xm:sqref>
        </x14:conditionalFormatting>
        <x14:conditionalFormatting xmlns:xm="http://schemas.microsoft.com/office/excel/2006/main">
          <x14:cfRule type="expression" priority="325" id="{7F4B6392-9857-48ED-97E2-BF810A56FB45}">
            <xm:f>IF(Text!$AS$47=-2,TRUE,FALSE)</xm:f>
            <x14:dxf>
              <font>
                <b/>
                <i val="0"/>
                <color rgb="FFFF0000"/>
              </font>
              <border>
                <left style="thin">
                  <color rgb="FFFF0000"/>
                </left>
                <right style="thin">
                  <color rgb="FFFF0000"/>
                </right>
                <top style="thin">
                  <color rgb="FFFF0000"/>
                </top>
                <bottom style="thin">
                  <color rgb="FFFF0000"/>
                </bottom>
              </border>
            </x14:dxf>
          </x14:cfRule>
          <xm:sqref>H507:K507</xm:sqref>
        </x14:conditionalFormatting>
        <x14:conditionalFormatting xmlns:xm="http://schemas.microsoft.com/office/excel/2006/main">
          <x14:cfRule type="expression" priority="330" id="{D27503AA-21AB-4B7C-8E3C-FDD5D4AAFBE7}">
            <xm:f>IF(Text!$AS$48=-2,TRUE,FALSE)</xm:f>
            <x14:dxf>
              <font>
                <b/>
                <i val="0"/>
                <color rgb="FFFF0000"/>
              </font>
              <border>
                <left style="thin">
                  <color rgb="FFFF0000"/>
                </left>
                <right style="thin">
                  <color rgb="FFFF0000"/>
                </right>
                <top style="thin">
                  <color rgb="FFFF0000"/>
                </top>
                <bottom style="thin">
                  <color rgb="FFFF0000"/>
                </bottom>
              </border>
            </x14:dxf>
          </x14:cfRule>
          <xm:sqref>H508:K508</xm:sqref>
        </x14:conditionalFormatting>
        <x14:conditionalFormatting xmlns:xm="http://schemas.microsoft.com/office/excel/2006/main">
          <x14:cfRule type="expression" priority="350" id="{27204843-D0D9-465B-8489-A146EE7D6E67}">
            <xm:f>IF(Text!$AS$52=-2,TRUE,FALSE)</xm:f>
            <x14:dxf>
              <font>
                <b/>
                <i val="0"/>
                <color rgb="FFFF0000"/>
              </font>
              <border>
                <left style="thin">
                  <color rgb="FFFF0000"/>
                </left>
                <right style="thin">
                  <color rgb="FFFF0000"/>
                </right>
                <top style="thin">
                  <color rgb="FFFF0000"/>
                </top>
                <bottom style="thin">
                  <color rgb="FFFF0000"/>
                </bottom>
              </border>
            </x14:dxf>
          </x14:cfRule>
          <xm:sqref>H515:K515</xm:sqref>
        </x14:conditionalFormatting>
        <x14:conditionalFormatting xmlns:xm="http://schemas.microsoft.com/office/excel/2006/main">
          <x14:cfRule type="expression" priority="360" id="{07AE05D1-85C4-40F5-85FF-41379A71D493}">
            <xm:f>IF(Text!$AS$54=-2,TRUE,FALSE)</xm:f>
            <x14:dxf>
              <font>
                <b/>
                <i val="0"/>
                <color rgb="FFFF0000"/>
              </font>
              <border>
                <left style="thin">
                  <color rgb="FFFF0000"/>
                </left>
                <right style="thin">
                  <color rgb="FFFF0000"/>
                </right>
                <top style="thin">
                  <color rgb="FFFF0000"/>
                </top>
                <bottom style="thin">
                  <color rgb="FFFF0000"/>
                </bottom>
              </border>
            </x14:dxf>
          </x14:cfRule>
          <xm:sqref>H517:K517</xm:sqref>
        </x14:conditionalFormatting>
        <x14:conditionalFormatting xmlns:xm="http://schemas.microsoft.com/office/excel/2006/main">
          <x14:cfRule type="expression" priority="365" id="{5CF5868C-4289-4697-96BA-C76E4FAD534F}">
            <xm:f>IF(Text!$AS$55=-2,TRUE,FALSE)</xm:f>
            <x14:dxf>
              <font>
                <b/>
                <i val="0"/>
                <color rgb="FFFF0000"/>
              </font>
              <border>
                <left style="thin">
                  <color rgb="FFFF0000"/>
                </left>
                <right style="thin">
                  <color rgb="FFFF0000"/>
                </right>
                <top style="thin">
                  <color rgb="FFFF0000"/>
                </top>
                <bottom style="thin">
                  <color rgb="FFFF0000"/>
                </bottom>
              </border>
            </x14:dxf>
          </x14:cfRule>
          <xm:sqref>H518:K518</xm:sqref>
        </x14:conditionalFormatting>
        <x14:conditionalFormatting xmlns:xm="http://schemas.microsoft.com/office/excel/2006/main">
          <x14:cfRule type="expression" priority="370" id="{8716AB5D-4AD0-4F48-863F-CFAEA63FC679}">
            <xm:f>IF(Text!$AS$56=-2,TRUE,FALSE)</xm:f>
            <x14:dxf>
              <font>
                <b/>
                <i val="0"/>
                <color rgb="FFFF0000"/>
              </font>
              <border>
                <left style="thin">
                  <color rgb="FFFF0000"/>
                </left>
                <right style="thin">
                  <color rgb="FFFF0000"/>
                </right>
                <top style="thin">
                  <color rgb="FFFF0000"/>
                </top>
                <bottom style="thin">
                  <color rgb="FFFF0000"/>
                </bottom>
              </border>
            </x14:dxf>
          </x14:cfRule>
          <xm:sqref>H519:K519</xm:sqref>
        </x14:conditionalFormatting>
        <x14:conditionalFormatting xmlns:xm="http://schemas.microsoft.com/office/excel/2006/main">
          <x14:cfRule type="expression" priority="375" id="{908CE14D-EF97-4A81-A1CD-7E2E37189ACB}">
            <xm:f>IF(Text!$AS$57=-2,TRUE,FALSE)</xm:f>
            <x14:dxf>
              <font>
                <b/>
                <i val="0"/>
                <color rgb="FFFF0000"/>
              </font>
              <border>
                <left style="thin">
                  <color rgb="FFFF0000"/>
                </left>
                <right style="thin">
                  <color rgb="FFFF0000"/>
                </right>
                <top style="thin">
                  <color rgb="FFFF0000"/>
                </top>
                <bottom style="thin">
                  <color rgb="FFFF0000"/>
                </bottom>
              </border>
            </x14:dxf>
          </x14:cfRule>
          <xm:sqref>H521:K521</xm:sqref>
        </x14:conditionalFormatting>
        <x14:conditionalFormatting xmlns:xm="http://schemas.microsoft.com/office/excel/2006/main">
          <x14:cfRule type="expression" priority="380" id="{2E662868-909E-4A66-B651-D284F31DA234}">
            <xm:f>IF(Text!$AS$58=-2,TRUE,FALSE)</xm:f>
            <x14:dxf>
              <font>
                <b/>
                <i val="0"/>
                <color rgb="FFFF0000"/>
              </font>
              <border>
                <left style="thin">
                  <color rgb="FFFF0000"/>
                </left>
                <right style="thin">
                  <color rgb="FFFF0000"/>
                </right>
                <top style="thin">
                  <color rgb="FFFF0000"/>
                </top>
                <bottom style="thin">
                  <color rgb="FFFF0000"/>
                </bottom>
              </border>
            </x14:dxf>
          </x14:cfRule>
          <xm:sqref>H522:K522</xm:sqref>
        </x14:conditionalFormatting>
        <x14:conditionalFormatting xmlns:xm="http://schemas.microsoft.com/office/excel/2006/main">
          <x14:cfRule type="expression" priority="25" id="{93D0724B-8D0F-4D1A-8E1D-CDCD8EE3F684}">
            <xm:f>IF(Text!$AS$24=-2,TRUE,FALSE)</xm:f>
            <x14:dxf>
              <font>
                <b/>
                <i val="0"/>
                <color rgb="FFFF0000"/>
              </font>
              <border>
                <left style="thin">
                  <color rgb="FFFF0000"/>
                </left>
                <right style="thin">
                  <color rgb="FFFF0000"/>
                </right>
                <top style="thin">
                  <color rgb="FFFF0000"/>
                </top>
                <bottom style="thin">
                  <color rgb="FFFF0000"/>
                </bottom>
              </border>
            </x14:dxf>
          </x14:cfRule>
          <x14:cfRule type="expression" priority="26" id="{B5C88C2D-6F5F-4515-BACF-A5A6F789C0EE}">
            <xm:f>IF(Text!$AS$24=-1,TRUE,FALSE)</xm:f>
            <x14:dxf>
              <font>
                <color rgb="FFFF0000"/>
              </font>
            </x14:dxf>
          </x14:cfRule>
          <x14:cfRule type="expression" priority="27" id="{B6FC4927-E31F-4366-BFC5-A1AD56F84ED1}">
            <xm:f>IF(Text!$AS$24=1,TRUE,FALSE)</xm:f>
            <x14:dxf>
              <font>
                <color theme="9" tint="-0.24994659260841701"/>
              </font>
            </x14:dxf>
          </x14:cfRule>
          <x14:cfRule type="expression" priority="28" id="{E62E78C9-C479-4232-AC26-85D706525E3D}">
            <xm:f>IF(Text!$AS$24=2,TRUE,FALSE)</xm:f>
            <x14:dxf>
              <font>
                <b/>
                <i val="0"/>
                <strike/>
                <color theme="9" tint="-0.24994659260841701"/>
              </font>
            </x14:dxf>
          </x14:cfRule>
          <xm:sqref>H466</xm:sqref>
        </x14:conditionalFormatting>
        <x14:conditionalFormatting xmlns:xm="http://schemas.microsoft.com/office/excel/2006/main">
          <x14:cfRule type="expression" priority="21" id="{FDB12278-B65F-4A68-B5DB-B611DA3C5DFA}">
            <xm:f>IF(Text!$AS$26=-2,TRUE,FALSE)</xm:f>
            <x14:dxf>
              <font>
                <b/>
                <i val="0"/>
                <color rgb="FFFF0000"/>
              </font>
              <border>
                <left style="thin">
                  <color rgb="FFFF0000"/>
                </left>
                <right style="thin">
                  <color rgb="FFFF0000"/>
                </right>
                <top style="thin">
                  <color rgb="FFFF0000"/>
                </top>
                <bottom style="thin">
                  <color rgb="FFFF0000"/>
                </bottom>
              </border>
            </x14:dxf>
          </x14:cfRule>
          <x14:cfRule type="expression" priority="22" id="{18DEA15D-2421-42C8-91B3-EA628F118E0F}">
            <xm:f>IF(Text!$AS$26=-1,TRUE,FALSE)</xm:f>
            <x14:dxf>
              <font>
                <color rgb="FFFF0000"/>
              </font>
            </x14:dxf>
          </x14:cfRule>
          <x14:cfRule type="expression" priority="23" id="{3C638AA5-7A3D-4DDC-B0AE-9318F7AFFE14}">
            <xm:f>IF(Text!$AS$26=1,TRUE,FALSE)</xm:f>
            <x14:dxf>
              <font>
                <color theme="9" tint="-0.24994659260841701"/>
              </font>
            </x14:dxf>
          </x14:cfRule>
          <x14:cfRule type="expression" priority="24" id="{9887CB60-5B51-4D63-90B7-E2D80DB1B09E}">
            <xm:f>IF(Text!$AS$26=2,TRUE,FALSE)</xm:f>
            <x14:dxf>
              <font>
                <b/>
                <i val="0"/>
                <strike/>
                <color theme="9" tint="-0.24994659260841701"/>
              </font>
            </x14:dxf>
          </x14:cfRule>
          <xm:sqref>H471</xm:sqref>
        </x14:conditionalFormatting>
        <x14:conditionalFormatting xmlns:xm="http://schemas.microsoft.com/office/excel/2006/main">
          <x14:cfRule type="expression" priority="17" id="{310BABED-8819-40AA-AABD-F6A7C7C606E5}">
            <xm:f>IF(Text!$AS$28=-2,TRUE,FALSE)</xm:f>
            <x14:dxf>
              <font>
                <b/>
                <i val="0"/>
                <color rgb="FFFF0000"/>
              </font>
              <border>
                <left style="thin">
                  <color rgb="FFFF0000"/>
                </left>
                <right style="thin">
                  <color rgb="FFFF0000"/>
                </right>
                <top style="thin">
                  <color rgb="FFFF0000"/>
                </top>
                <bottom style="thin">
                  <color rgb="FFFF0000"/>
                </bottom>
              </border>
            </x14:dxf>
          </x14:cfRule>
          <x14:cfRule type="expression" priority="18" id="{C8FD7A84-D381-443D-BE35-4A7FF94C29DF}">
            <xm:f>IF(Text!$AS$28=-1,TRUE,FALSE)</xm:f>
            <x14:dxf>
              <font>
                <color rgb="FFFF0000"/>
              </font>
            </x14:dxf>
          </x14:cfRule>
          <x14:cfRule type="expression" priority="19" id="{59C6D3D5-3020-4DC6-BE1D-91BD4A460AE6}">
            <xm:f>IF(Text!$AS$28=1,TRUE,FALSE)</xm:f>
            <x14:dxf>
              <font>
                <color theme="9" tint="-0.24994659260841701"/>
              </font>
            </x14:dxf>
          </x14:cfRule>
          <x14:cfRule type="expression" priority="20" id="{12C600E5-E31A-4D13-A65B-AB7E19206890}">
            <xm:f>IF(Text!$AS$28=2,TRUE,FALSE)</xm:f>
            <x14:dxf>
              <font>
                <b/>
                <i val="0"/>
                <strike/>
                <color theme="9" tint="-0.24994659260841701"/>
              </font>
            </x14:dxf>
          </x14:cfRule>
          <xm:sqref>H475</xm:sqref>
        </x14:conditionalFormatting>
        <x14:conditionalFormatting xmlns:xm="http://schemas.microsoft.com/office/excel/2006/main">
          <x14:cfRule type="expression" priority="13" id="{0D3E2079-6FED-4DBA-86B1-F55F66B5119B}">
            <xm:f>IF(Text!$AS$32=-2,TRUE,FALSE)</xm:f>
            <x14:dxf>
              <font>
                <b/>
                <i val="0"/>
                <color rgb="FFFF0000"/>
              </font>
              <border>
                <left style="thin">
                  <color rgb="FFFF0000"/>
                </left>
                <right style="thin">
                  <color rgb="FFFF0000"/>
                </right>
                <top style="thin">
                  <color rgb="FFFF0000"/>
                </top>
                <bottom style="thin">
                  <color rgb="FFFF0000"/>
                </bottom>
              </border>
            </x14:dxf>
          </x14:cfRule>
          <x14:cfRule type="expression" priority="14" id="{B59CA20E-54D7-46D4-A543-3EB54438FCD7}">
            <xm:f>IF(Text!$AS$32=-1,TRUE,FALSE)</xm:f>
            <x14:dxf>
              <font>
                <color rgb="FFFF0000"/>
              </font>
            </x14:dxf>
          </x14:cfRule>
          <x14:cfRule type="expression" priority="15" id="{52D0572B-9A0B-4E10-AAF8-50175EB71A78}">
            <xm:f>IF(Text!$AS$32=1,TRUE,FALSE)</xm:f>
            <x14:dxf>
              <font>
                <color theme="9" tint="-0.24994659260841701"/>
              </font>
            </x14:dxf>
          </x14:cfRule>
          <x14:cfRule type="expression" priority="16" id="{D8C62C82-7840-44DE-8212-5DC1270C1DC9}">
            <xm:f>IF(Text!$AS$32=2,TRUE,FALSE)</xm:f>
            <x14:dxf>
              <font>
                <b/>
                <i val="0"/>
                <strike/>
                <color theme="9" tint="-0.24994659260841701"/>
              </font>
            </x14:dxf>
          </x14:cfRule>
          <xm:sqref>H481</xm:sqref>
        </x14:conditionalFormatting>
        <x14:conditionalFormatting xmlns:xm="http://schemas.microsoft.com/office/excel/2006/main">
          <x14:cfRule type="expression" priority="9" id="{959A2C6A-057F-4AF1-B15A-29C7A909B8EC}">
            <xm:f>IF(Text!$AS$33=-2,TRUE,FALSE)</xm:f>
            <x14:dxf>
              <font>
                <b/>
                <i val="0"/>
                <color rgb="FFFF0000"/>
              </font>
              <border>
                <left style="thin">
                  <color rgb="FFFF0000"/>
                </left>
                <right style="thin">
                  <color rgb="FFFF0000"/>
                </right>
                <top style="thin">
                  <color rgb="FFFF0000"/>
                </top>
                <bottom style="thin">
                  <color rgb="FFFF0000"/>
                </bottom>
              </border>
            </x14:dxf>
          </x14:cfRule>
          <x14:cfRule type="expression" priority="10" id="{01C21B8C-B8FB-48CF-89A7-3C0334CAA8DF}">
            <xm:f>IF(Text!$AS$33=-1,TRUE,FALSE)</xm:f>
            <x14:dxf>
              <font>
                <color rgb="FFFF0000"/>
              </font>
            </x14:dxf>
          </x14:cfRule>
          <x14:cfRule type="expression" priority="11" id="{C1D92178-0E66-4262-A180-E74CF24C09FF}">
            <xm:f>IF(Text!$AS$33=1,TRUE,FALSE)</xm:f>
            <x14:dxf>
              <font>
                <color theme="9" tint="-0.24994659260841701"/>
              </font>
            </x14:dxf>
          </x14:cfRule>
          <x14:cfRule type="expression" priority="12" id="{91788CA0-919E-4E55-9B22-D3021653E156}">
            <xm:f>IF(Text!$AS$33=2,TRUE,FALSE)</xm:f>
            <x14:dxf>
              <font>
                <b/>
                <i val="0"/>
                <strike/>
                <color theme="9" tint="-0.24994659260841701"/>
              </font>
            </x14:dxf>
          </x14:cfRule>
          <xm:sqref>H482</xm:sqref>
        </x14:conditionalFormatting>
        <x14:conditionalFormatting xmlns:xm="http://schemas.microsoft.com/office/excel/2006/main">
          <x14:cfRule type="expression" priority="5" id="{28C6B685-6385-459E-ABB9-2F65F56E3FBA}">
            <xm:f>IF(Text!$AS$41=-2,TRUE,FALSE)</xm:f>
            <x14:dxf>
              <font>
                <b/>
                <i val="0"/>
                <color rgb="FFFF0000"/>
              </font>
              <border>
                <left style="thin">
                  <color rgb="FFFF0000"/>
                </left>
                <right style="thin">
                  <color rgb="FFFF0000"/>
                </right>
                <top style="thin">
                  <color rgb="FFFF0000"/>
                </top>
                <bottom style="thin">
                  <color rgb="FFFF0000"/>
                </bottom>
              </border>
            </x14:dxf>
          </x14:cfRule>
          <x14:cfRule type="expression" priority="6" id="{9CB8E43E-978D-4082-BEE1-2ACA20F3D145}">
            <xm:f>IF(Text!$AS$41=-1,TRUE,FALSE)</xm:f>
            <x14:dxf>
              <font>
                <color rgb="FFFF0000"/>
              </font>
            </x14:dxf>
          </x14:cfRule>
          <x14:cfRule type="expression" priority="7" id="{B54E7F89-6322-44BB-BFB8-66F3F2C2A230}">
            <xm:f>IF(Text!$AS$41=1,TRUE,FALSE)</xm:f>
            <x14:dxf>
              <font>
                <color theme="9" tint="-0.24994659260841701"/>
              </font>
            </x14:dxf>
          </x14:cfRule>
          <x14:cfRule type="expression" priority="8" id="{65037127-FCFD-40CF-8450-82DF48B5DDF6}">
            <xm:f>IF(Text!$AS$41=2,TRUE,FALSE)</xm:f>
            <x14:dxf>
              <font>
                <b/>
                <i val="0"/>
                <strike/>
                <color theme="9" tint="-0.24994659260841701"/>
              </font>
            </x14:dxf>
          </x14:cfRule>
          <xm:sqref>H495</xm:sqref>
        </x14:conditionalFormatting>
        <x14:conditionalFormatting xmlns:xm="http://schemas.microsoft.com/office/excel/2006/main">
          <x14:cfRule type="expression" priority="1" id="{594AB3E9-A8CC-42D9-A8B4-A414DFF73372}">
            <xm:f>IF(Text!$AS$43=-2,TRUE,FALSE)</xm:f>
            <x14:dxf>
              <font>
                <b/>
                <i val="0"/>
                <color rgb="FFFF0000"/>
              </font>
              <border>
                <left style="thin">
                  <color rgb="FFFF0000"/>
                </left>
                <right style="thin">
                  <color rgb="FFFF0000"/>
                </right>
                <top style="thin">
                  <color rgb="FFFF0000"/>
                </top>
                <bottom style="thin">
                  <color rgb="FFFF0000"/>
                </bottom>
              </border>
            </x14:dxf>
          </x14:cfRule>
          <x14:cfRule type="expression" priority="2" id="{73189237-8F12-4886-9639-C5AEB8519278}">
            <xm:f>IF(Text!$AS$43=-1,TRUE,FALSE)</xm:f>
            <x14:dxf>
              <font>
                <color rgb="FFFF0000"/>
              </font>
            </x14:dxf>
          </x14:cfRule>
          <x14:cfRule type="expression" priority="3" id="{F261285A-9319-43C3-ADC5-A176AAAA765F}">
            <xm:f>IF(Text!$AS$43=1,TRUE,FALSE)</xm:f>
            <x14:dxf>
              <font>
                <color theme="9" tint="-0.24994659260841701"/>
              </font>
            </x14:dxf>
          </x14:cfRule>
          <x14:cfRule type="expression" priority="4" id="{ABB450EC-4CD2-494A-B523-21C47B9924E1}">
            <xm:f>IF(Text!$AS$43=2,TRUE,FALSE)</xm:f>
            <x14:dxf>
              <font>
                <b/>
                <i val="0"/>
                <strike/>
                <color theme="9" tint="-0.24994659260841701"/>
              </font>
            </x14:dxf>
          </x14:cfRule>
          <xm:sqref>H497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11">
    <pageSetUpPr fitToPage="1"/>
  </sheetPr>
  <dimension ref="A1:Z326"/>
  <sheetViews>
    <sheetView showGridLines="0" showRowColHeaders="0" zoomScaleNormal="100" workbookViewId="0"/>
  </sheetViews>
  <sheetFormatPr baseColWidth="10" defaultColWidth="0" defaultRowHeight="14.5" zeroHeight="1"/>
  <cols>
    <col min="1" max="1" width="1.7265625" customWidth="1"/>
    <col min="2" max="2" width="5.453125" style="253" customWidth="1"/>
    <col min="3" max="3" width="1.54296875" customWidth="1"/>
    <col min="4" max="4" width="25.54296875" customWidth="1"/>
    <col min="5" max="5" width="5.81640625" customWidth="1"/>
    <col min="6" max="6" width="0.54296875" customWidth="1"/>
    <col min="7" max="7" width="22.54296875" customWidth="1"/>
    <col min="8" max="8" width="1.54296875" customWidth="1"/>
    <col min="9" max="9" width="5.453125" customWidth="1"/>
    <col min="10" max="10" width="22.54296875" customWidth="1"/>
    <col min="11" max="11" width="0.54296875" customWidth="1"/>
    <col min="12" max="12" width="5.81640625" customWidth="1"/>
    <col min="13" max="13" width="0.54296875" customWidth="1"/>
    <col min="14" max="14" width="22.54296875" customWidth="1"/>
    <col min="15" max="15" width="1.54296875" customWidth="1"/>
    <col min="16" max="16" width="5.453125" customWidth="1"/>
    <col min="17" max="17" width="28.453125" customWidth="1"/>
    <col min="18" max="18" width="1.54296875" customWidth="1"/>
    <col min="19" max="19" width="5.453125" customWidth="1"/>
    <col min="20" max="20" width="22.54296875" customWidth="1"/>
    <col min="21" max="21" width="1.54296875" customWidth="1"/>
    <col min="22" max="22" width="5.453125" customWidth="1"/>
    <col min="23" max="23" width="18.54296875" customWidth="1"/>
    <col min="24" max="24" width="1.54296875" customWidth="1"/>
    <col min="25" max="25" width="5.453125" customWidth="1"/>
    <col min="26" max="26" width="10.54296875" customWidth="1"/>
    <col min="27" max="27" width="0" hidden="1" customWidth="1"/>
  </cols>
  <sheetData>
    <row r="1" spans="1:25" s="48" customFormat="1" ht="5.15" customHeight="1">
      <c r="A1" s="94"/>
      <c r="B1" s="95"/>
      <c r="G1" s="269"/>
      <c r="H1" s="269"/>
      <c r="I1" s="269"/>
      <c r="J1" s="269"/>
      <c r="K1" s="269"/>
      <c r="L1" s="269"/>
      <c r="M1" s="269"/>
      <c r="N1" s="269"/>
      <c r="O1" s="269"/>
      <c r="P1" s="269"/>
      <c r="Q1" s="269"/>
      <c r="R1" s="269"/>
      <c r="S1" s="269"/>
      <c r="T1" s="269"/>
    </row>
    <row r="2" spans="1:25" s="1" customFormat="1" ht="20.149999999999999" customHeight="1" thickBot="1">
      <c r="H2" s="2043" t="str">
        <f>Text!C435</f>
        <v>Fenster schliessen</v>
      </c>
      <c r="I2" s="2044"/>
      <c r="J2" s="2044"/>
      <c r="K2" s="2044"/>
      <c r="L2" s="2045"/>
      <c r="M2" s="1303"/>
      <c r="O2" s="2046" t="str">
        <f>Text!C436</f>
        <v>Fragenkatalog in einem neuen Fenster</v>
      </c>
      <c r="P2" s="2047"/>
      <c r="Q2" s="2047"/>
      <c r="R2" s="2047"/>
      <c r="S2" s="2048"/>
    </row>
    <row r="3" spans="1:25" s="1" customFormat="1" ht="3" customHeight="1" thickTop="1">
      <c r="A3" s="246"/>
      <c r="B3" s="247"/>
      <c r="H3" s="48"/>
      <c r="I3" s="96"/>
      <c r="J3" s="24"/>
      <c r="K3" s="96"/>
      <c r="L3" s="96"/>
      <c r="M3" s="96"/>
      <c r="N3" s="175"/>
      <c r="O3" s="96"/>
      <c r="P3" s="96"/>
      <c r="Q3" s="24"/>
      <c r="R3" s="48"/>
      <c r="S3" s="48"/>
      <c r="T3" s="175"/>
    </row>
    <row r="4" spans="1:25" s="1" customFormat="1" ht="30" customHeight="1">
      <c r="A4" s="246"/>
      <c r="B4" s="247"/>
      <c r="H4" s="48"/>
      <c r="I4" s="48"/>
      <c r="J4" s="48"/>
      <c r="K4" s="48"/>
      <c r="L4" s="48"/>
      <c r="M4" s="48"/>
      <c r="O4" s="48"/>
      <c r="P4" s="48"/>
      <c r="Q4" s="48"/>
      <c r="R4" s="48"/>
      <c r="S4" s="48"/>
    </row>
    <row r="5" spans="1:25" s="1" customFormat="1" ht="30" customHeight="1">
      <c r="A5" s="246"/>
      <c r="B5" s="247"/>
      <c r="G5" s="2041" t="str">
        <f>IF(AND(Tool!H7="Deutsch",Tool!H18="Pre-Check"),"Pre-Check SNBS 2023.1 Hochbau",IF(AND(Tool!H7="Deutsch",Tool!H18="Pre-Check &amp; Klima-Check"),"Pre-Check &amp; Klima-Check SNBS 2023.1 Hochbau",IF(AND(Tool!H7="Deutsch",Tool!H18="Klima-Check"),"Klimafit-Check SNBS 2023.1 Hochbau",IF(AND(Tool!H7="Français",Tool!H18="Pre-Check &amp; Check Climat"),"Pre-Check &amp; Check Climat SNBS 2023.1 Bâtiment",IF(AND(Tool!H7="Français",Tool!H18="Check Climat"),"Check Climat SNBS 2023.1 Bâtiment",IF(AND(Tool!H7="Français",Tool!H18="Pre-Check"),"Pre-Check SNBS 2023.1 Bâtiment",IF(AND(Tool!H7="Italiano",Tool!H18="Pre-Check &amp; Check Clima"),"Pre-Check &amp; Check Clima SNBS 2023.1 Edificio",IF(AND(Tool!H7="Italiano",Tool!H18="Check Clima"),"Check Clima SNBS 2023.1 Edificio",IF(AND(Tool!H7="Italiano",Tool!H18="Pre-Check"),"Pre-Check SNBS 2023.1 Edificio","Pre-Check SNBS 2023.1 Hochbau")))))))))</f>
        <v>Pre-Check SNBS 2023.1 Hochbau</v>
      </c>
      <c r="H5" s="2041"/>
      <c r="I5" s="2041"/>
      <c r="J5" s="2041"/>
      <c r="K5" s="2041"/>
      <c r="L5" s="2041"/>
      <c r="M5" s="2041"/>
      <c r="N5" s="2041"/>
      <c r="O5" s="2041"/>
      <c r="P5" s="2041"/>
      <c r="Q5" s="2041"/>
      <c r="R5" s="2041"/>
      <c r="S5" s="2041"/>
      <c r="T5" s="2041"/>
    </row>
    <row r="6" spans="1:25" s="1" customFormat="1" ht="30" customHeight="1">
      <c r="B6" s="222"/>
      <c r="G6" s="1786" t="str">
        <f>Text!C434</f>
        <v>Info</v>
      </c>
      <c r="H6" s="1786"/>
      <c r="I6" s="1786"/>
      <c r="J6" s="1786"/>
      <c r="K6" s="1786"/>
      <c r="L6" s="1786"/>
      <c r="M6" s="1786"/>
      <c r="N6" s="1786"/>
      <c r="O6" s="1786"/>
      <c r="P6" s="1786"/>
      <c r="Q6" s="1786"/>
      <c r="R6" s="1786"/>
      <c r="S6" s="1786"/>
      <c r="T6" s="1786"/>
    </row>
    <row r="7" spans="1:25" s="1" customFormat="1" ht="30" customHeight="1">
      <c r="B7" s="222"/>
    </row>
    <row r="8" spans="1:25" s="1" customFormat="1" ht="30" customHeight="1">
      <c r="A8" s="246"/>
      <c r="B8" s="247"/>
      <c r="E8" s="2042" t="str">
        <f>Text!C437</f>
        <v>In diesem Register finden Sie nützliche Zusatzinformationen zu den Kriterien und zur Fragenbeantwortung. Die Nummerierung entspricht derjenigen in der Hilfsspalte ganz rechts im Register "Check".</v>
      </c>
      <c r="F8" s="2042"/>
      <c r="G8" s="2042"/>
      <c r="H8" s="2042"/>
      <c r="I8" s="2042"/>
      <c r="J8" s="2042"/>
      <c r="K8" s="2042"/>
      <c r="L8" s="2042"/>
      <c r="M8" s="2042"/>
      <c r="N8" s="2042"/>
      <c r="O8" s="2042"/>
      <c r="P8" s="2042"/>
      <c r="Q8" s="2042"/>
      <c r="R8" s="2042"/>
      <c r="S8" s="2042"/>
      <c r="T8" s="2042"/>
      <c r="U8" s="2042"/>
      <c r="V8" s="2042"/>
    </row>
    <row r="9" spans="1:25" s="48" customFormat="1" ht="60" customHeight="1">
      <c r="B9" s="271"/>
    </row>
    <row r="10" spans="1:25" s="1" customFormat="1" ht="15" customHeight="1">
      <c r="A10" s="246"/>
      <c r="B10" s="2036" t="s">
        <v>5</v>
      </c>
      <c r="C10" s="2036"/>
      <c r="D10" s="2050" t="str">
        <f>Text!C438</f>
        <v>Erneuerung</v>
      </c>
      <c r="E10" s="2051"/>
      <c r="F10" s="2051"/>
      <c r="G10" s="2051"/>
      <c r="H10" s="2051"/>
      <c r="I10" s="2051"/>
      <c r="J10" s="2051"/>
      <c r="K10" s="2051"/>
      <c r="L10" s="2051"/>
      <c r="M10" s="2051"/>
      <c r="N10" s="2051"/>
      <c r="O10" s="2051"/>
      <c r="P10" s="2051"/>
      <c r="Q10" s="2051"/>
      <c r="R10" s="2051"/>
      <c r="S10" s="2051"/>
      <c r="T10" s="2051"/>
      <c r="U10" s="2051"/>
      <c r="V10" s="2051"/>
      <c r="W10" s="2051"/>
    </row>
    <row r="11" spans="1:25" s="1" customFormat="1" ht="15" customHeight="1">
      <c r="A11" s="246"/>
      <c r="B11" s="248"/>
      <c r="C11" s="248"/>
      <c r="D11" s="125"/>
      <c r="E11" s="125"/>
      <c r="F11" s="125"/>
      <c r="G11" s="125"/>
      <c r="H11" s="125"/>
      <c r="I11" s="125"/>
      <c r="J11" s="125"/>
      <c r="K11" s="125"/>
      <c r="L11" s="125"/>
      <c r="M11" s="125"/>
      <c r="N11" s="125"/>
      <c r="O11" s="125"/>
      <c r="P11" s="125"/>
      <c r="Q11" s="125"/>
      <c r="R11" s="125"/>
      <c r="S11" s="125"/>
      <c r="T11" s="125"/>
      <c r="U11" s="125"/>
      <c r="V11" s="125"/>
      <c r="W11" s="125"/>
    </row>
    <row r="12" spans="1:25" s="1" customFormat="1" ht="15" customHeight="1">
      <c r="A12" s="246"/>
      <c r="B12" s="248"/>
      <c r="C12" s="248"/>
      <c r="D12" s="1728" t="str">
        <f>Text!C439</f>
        <v>Bei Erneuerungen dürfen im Rahmen einer SNBS-Zertifizierung folgende Kriterien eine ungenügende Note aufweisen. Die Durchschnittsbewertung des übergeordneten Themas muss jedoch genügend bleiben.</v>
      </c>
      <c r="E12" s="1728"/>
      <c r="F12" s="1728"/>
      <c r="G12" s="1728"/>
      <c r="H12" s="1728"/>
      <c r="I12" s="1728"/>
      <c r="J12" s="1728"/>
      <c r="K12" s="1728"/>
      <c r="L12" s="1728"/>
      <c r="M12" s="1728"/>
      <c r="N12" s="1728"/>
      <c r="O12" s="1728"/>
      <c r="P12" s="1728"/>
      <c r="Q12" s="1728"/>
      <c r="R12" s="1728"/>
      <c r="S12" s="1728"/>
      <c r="T12" s="1728"/>
      <c r="U12" s="1728"/>
      <c r="V12" s="1728"/>
      <c r="W12" s="1728"/>
    </row>
    <row r="13" spans="1:25" s="1" customFormat="1" ht="15" customHeight="1">
      <c r="A13" s="246"/>
      <c r="B13" s="248"/>
      <c r="C13" s="248"/>
      <c r="D13" s="125"/>
      <c r="E13" s="125"/>
      <c r="F13" s="125"/>
      <c r="G13" s="125"/>
      <c r="H13" s="125"/>
      <c r="I13" s="125"/>
      <c r="J13" s="125"/>
      <c r="K13" s="125"/>
      <c r="L13" s="125"/>
      <c r="M13" s="125"/>
      <c r="N13" s="125"/>
      <c r="O13" s="125"/>
      <c r="P13" s="125"/>
      <c r="Q13" s="125"/>
      <c r="R13" s="125"/>
      <c r="S13" s="125"/>
      <c r="T13" s="125"/>
      <c r="U13" s="125"/>
      <c r="V13" s="125"/>
      <c r="W13" s="125"/>
    </row>
    <row r="14" spans="1:25" s="82" customFormat="1" ht="15" customHeight="1">
      <c r="C14" s="1"/>
      <c r="E14" s="1300">
        <f>Text!$AQ$34</f>
        <v>145</v>
      </c>
      <c r="F14"/>
      <c r="G14" s="1777" t="str">
        <f>Text!$AR$34</f>
        <v>Winterlicher Wärmeschutz</v>
      </c>
      <c r="H14" s="1777"/>
      <c r="I14" s="1777"/>
      <c r="J14" s="1777"/>
      <c r="O14" s="1"/>
      <c r="P14" s="1"/>
      <c r="Q14" s="1"/>
      <c r="R14" s="1"/>
      <c r="S14" s="1"/>
      <c r="T14" s="1"/>
      <c r="U14" s="1"/>
      <c r="V14" s="1"/>
      <c r="W14" s="1"/>
      <c r="X14" s="1"/>
      <c r="Y14" s="1"/>
    </row>
    <row r="15" spans="1:25" s="82" customFormat="1" ht="2.15" customHeight="1">
      <c r="C15" s="1"/>
      <c r="E15" s="1"/>
      <c r="G15" s="1"/>
      <c r="I15" s="1"/>
      <c r="J15" s="1"/>
      <c r="O15" s="1"/>
      <c r="P15" s="1"/>
      <c r="Q15" s="1"/>
      <c r="R15" s="1"/>
      <c r="S15" s="1"/>
      <c r="T15" s="1"/>
      <c r="U15" s="1"/>
      <c r="V15" s="1"/>
      <c r="W15" s="1"/>
      <c r="X15" s="1"/>
      <c r="Y15" s="1"/>
    </row>
    <row r="16" spans="1:25" s="82" customFormat="1" ht="15" customHeight="1">
      <c r="C16" s="1"/>
      <c r="E16" s="1300">
        <f>Text!$AQ$36</f>
        <v>147</v>
      </c>
      <c r="F16"/>
      <c r="G16" s="1777" t="str">
        <f>Text!$AR$36</f>
        <v>Schallschutz</v>
      </c>
      <c r="H16" s="1777"/>
      <c r="I16" s="1777"/>
      <c r="J16" s="1777"/>
      <c r="O16" s="1"/>
      <c r="P16" s="1"/>
      <c r="Q16" s="1"/>
      <c r="R16" s="1"/>
      <c r="S16" s="1"/>
      <c r="T16" s="1"/>
      <c r="U16" s="1"/>
      <c r="V16" s="1"/>
      <c r="W16" s="1"/>
      <c r="X16" s="1"/>
      <c r="Y16" s="1"/>
    </row>
    <row r="17" spans="1:26" s="82" customFormat="1" ht="2.15" customHeight="1">
      <c r="C17" s="1"/>
      <c r="E17" s="1"/>
      <c r="G17" s="1"/>
      <c r="I17" s="1"/>
      <c r="J17" s="1"/>
      <c r="O17" s="1"/>
      <c r="P17" s="1"/>
      <c r="Q17" s="1"/>
      <c r="R17" s="1"/>
      <c r="S17" s="1"/>
      <c r="T17" s="1"/>
      <c r="U17" s="1"/>
      <c r="V17" s="1"/>
      <c r="W17" s="1"/>
      <c r="X17" s="1"/>
      <c r="Y17" s="1"/>
    </row>
    <row r="18" spans="1:26" s="82" customFormat="1" ht="15" customHeight="1">
      <c r="C18" s="1"/>
      <c r="E18" s="1300">
        <f>Text!$AQ$42</f>
        <v>222</v>
      </c>
      <c r="F18"/>
      <c r="G18" s="1163" t="str">
        <f>Text!$AR$42</f>
        <v>Nutzungsdichte</v>
      </c>
      <c r="H18" s="1163"/>
      <c r="I18" s="1163"/>
      <c r="J18" s="1163"/>
      <c r="O18" s="1"/>
      <c r="P18" s="1"/>
      <c r="Q18" s="1"/>
      <c r="R18" s="1"/>
      <c r="S18" s="1"/>
      <c r="T18" s="1"/>
      <c r="U18" s="1"/>
      <c r="V18" s="1"/>
      <c r="W18" s="1"/>
      <c r="X18" s="1"/>
      <c r="Y18" s="1"/>
    </row>
    <row r="19" spans="1:26" s="82" customFormat="1" ht="2.15" customHeight="1">
      <c r="C19" s="1"/>
      <c r="E19" s="1"/>
      <c r="G19" s="1"/>
      <c r="I19" s="1"/>
      <c r="J19" s="1"/>
      <c r="O19" s="1"/>
      <c r="P19" s="1"/>
      <c r="Q19" s="1"/>
      <c r="R19" s="1"/>
      <c r="S19" s="1"/>
      <c r="T19" s="1"/>
      <c r="U19" s="1"/>
      <c r="V19" s="1"/>
      <c r="W19" s="1"/>
      <c r="X19" s="1"/>
      <c r="Y19" s="1"/>
    </row>
    <row r="20" spans="1:26" s="82" customFormat="1" ht="15" customHeight="1">
      <c r="C20" s="1"/>
      <c r="E20" s="1300">
        <f>Text!$AQ$43</f>
        <v>223</v>
      </c>
      <c r="F20"/>
      <c r="G20" s="1163" t="str">
        <f>Text!$AR$43</f>
        <v>Nutzungsflexibilität &amp; -variabilität</v>
      </c>
      <c r="H20" s="1163"/>
      <c r="I20" s="1163"/>
      <c r="J20" s="1163"/>
      <c r="O20" s="1"/>
      <c r="P20" s="1"/>
      <c r="Q20" s="1"/>
      <c r="R20" s="1"/>
      <c r="S20" s="1"/>
      <c r="T20" s="1"/>
      <c r="U20" s="1"/>
      <c r="V20" s="1"/>
      <c r="W20" s="1"/>
      <c r="X20" s="1"/>
      <c r="Y20" s="1"/>
    </row>
    <row r="21" spans="1:26" s="48" customFormat="1" ht="45" customHeight="1">
      <c r="A21" s="94"/>
      <c r="B21" s="270"/>
      <c r="C21" s="270"/>
      <c r="D21" s="203"/>
      <c r="E21" s="203"/>
      <c r="F21" s="203"/>
      <c r="G21" s="203"/>
      <c r="H21" s="203"/>
      <c r="I21" s="203"/>
      <c r="J21" s="203"/>
      <c r="K21" s="203"/>
      <c r="L21" s="203"/>
      <c r="M21" s="203"/>
      <c r="N21" s="203"/>
      <c r="O21" s="203"/>
      <c r="P21" s="203"/>
      <c r="Q21" s="203"/>
      <c r="R21" s="203"/>
      <c r="S21" s="203"/>
      <c r="T21" s="203"/>
      <c r="U21" s="203"/>
      <c r="V21" s="203"/>
      <c r="W21" s="203"/>
    </row>
    <row r="22" spans="1:26" s="1" customFormat="1" ht="15" customHeight="1">
      <c r="A22" s="246"/>
      <c r="B22" s="248"/>
      <c r="C22" s="248" t="s">
        <v>6</v>
      </c>
      <c r="D22" s="249" t="str">
        <f>Text!C440</f>
        <v>SIA Normen</v>
      </c>
      <c r="E22" s="125"/>
      <c r="F22" s="125"/>
      <c r="G22" s="125"/>
      <c r="H22" s="125"/>
      <c r="I22" s="125"/>
      <c r="J22" s="125"/>
      <c r="K22" s="125"/>
    </row>
    <row r="23" spans="1:26" s="1" customFormat="1" ht="15" customHeight="1">
      <c r="A23" s="246"/>
      <c r="B23" s="248"/>
      <c r="C23" s="248"/>
      <c r="D23" s="249"/>
      <c r="E23" s="125"/>
      <c r="F23" s="125"/>
      <c r="G23" s="125"/>
      <c r="H23" s="125"/>
      <c r="I23" s="125"/>
      <c r="J23" s="125"/>
      <c r="K23" s="125"/>
    </row>
    <row r="24" spans="1:26" s="1" customFormat="1" ht="15" customHeight="1">
      <c r="A24" s="246"/>
      <c r="B24" s="248"/>
      <c r="C24" s="248"/>
      <c r="D24" s="1728" t="str">
        <f>Text!C441</f>
        <v>Einige der Kriterien bauen auf gängige Schweizer Normen und Empfehlungen auf, z. B. der SIA. Detaillierte Informationen sind in den angegebenen Dokumenten zu finden:</v>
      </c>
      <c r="E24" s="1728"/>
      <c r="F24" s="1728"/>
      <c r="G24" s="1728"/>
      <c r="H24" s="1728"/>
      <c r="I24" s="1728"/>
      <c r="J24" s="1728"/>
      <c r="K24" s="1728"/>
      <c r="L24" s="1728"/>
      <c r="M24" s="1728"/>
      <c r="N24" s="1728"/>
      <c r="O24" s="1728"/>
      <c r="P24" s="1728"/>
      <c r="Q24" s="1728"/>
      <c r="R24" s="1728"/>
      <c r="S24" s="1728"/>
      <c r="T24" s="1728"/>
      <c r="U24" s="1728"/>
      <c r="V24" s="1728"/>
      <c r="W24" s="1728"/>
      <c r="X24" s="250"/>
      <c r="Y24" s="250"/>
      <c r="Z24" s="250"/>
    </row>
    <row r="25" spans="1:26" s="1" customFormat="1" ht="15" customHeight="1">
      <c r="A25" s="246"/>
      <c r="B25" s="248"/>
      <c r="C25" s="248"/>
      <c r="T25" s="11"/>
      <c r="U25" s="11"/>
      <c r="V25" s="11"/>
      <c r="W25" s="11"/>
      <c r="X25" s="11"/>
      <c r="Y25" s="11"/>
    </row>
    <row r="26" spans="1:26" s="1" customFormat="1" ht="15" customHeight="1">
      <c r="A26" s="246"/>
      <c r="B26" s="248"/>
      <c r="C26" s="248"/>
      <c r="D26" s="1" t="str">
        <f>Text!C626</f>
        <v>FM-gerechte Bauplanung und Realisierung</v>
      </c>
      <c r="E26" s="123"/>
      <c r="F26" s="123"/>
      <c r="G26" s="123"/>
      <c r="H26" s="123"/>
      <c r="I26" s="123"/>
      <c r="J26" s="123"/>
      <c r="K26" s="123"/>
      <c r="L26" s="1728" t="str">
        <f>Text!C627</f>
        <v xml:space="preserve">SIA 113:2010 </v>
      </c>
      <c r="M26" s="1728"/>
      <c r="N26" s="1728"/>
      <c r="O26" s="1728"/>
      <c r="P26" s="1728"/>
      <c r="Q26" s="1728"/>
      <c r="T26" s="2024" t="s">
        <v>1506</v>
      </c>
      <c r="U26" s="2025"/>
      <c r="V26" s="2025"/>
      <c r="W26" s="2025"/>
      <c r="X26" s="2025"/>
      <c r="Y26" s="2025"/>
    </row>
    <row r="27" spans="1:26" s="1" customFormat="1" ht="15" customHeight="1">
      <c r="A27" s="246"/>
      <c r="B27" s="248"/>
      <c r="C27" s="248"/>
      <c r="T27" s="11"/>
      <c r="U27" s="11"/>
      <c r="V27" s="11"/>
      <c r="W27" s="11"/>
      <c r="X27" s="11"/>
      <c r="Y27" s="11"/>
    </row>
    <row r="28" spans="1:26" s="1" customFormat="1" ht="15" customHeight="1">
      <c r="A28" s="246"/>
      <c r="B28" s="248"/>
      <c r="C28" s="248"/>
      <c r="D28" s="1" t="str">
        <f>Text!C628</f>
        <v>Ordnung für Architektur- und Ingenieurwettbewerbe</v>
      </c>
      <c r="E28" s="123"/>
      <c r="F28" s="123"/>
      <c r="G28" s="123"/>
      <c r="H28" s="123"/>
      <c r="I28" s="123"/>
      <c r="J28" s="123"/>
      <c r="K28" s="123"/>
      <c r="L28" s="1728" t="str">
        <f>Text!C629</f>
        <v>SIA 142:2009</v>
      </c>
      <c r="M28" s="1728"/>
      <c r="N28" s="1728"/>
      <c r="O28" s="1728"/>
      <c r="P28" s="1728"/>
      <c r="Q28" s="1728"/>
      <c r="R28" s="125"/>
      <c r="S28" s="125"/>
      <c r="T28" s="2024" t="s">
        <v>1451</v>
      </c>
      <c r="U28" s="2025"/>
      <c r="V28" s="2025"/>
      <c r="W28" s="2025"/>
      <c r="X28" s="2025"/>
      <c r="Y28" s="2025"/>
      <c r="Z28" s="251"/>
    </row>
    <row r="29" spans="1:26" s="1" customFormat="1" ht="15" customHeight="1">
      <c r="A29" s="246"/>
      <c r="B29" s="248"/>
      <c r="C29" s="248"/>
      <c r="D29" s="1" t="str">
        <f>Text!C630</f>
        <v>Ordnung für Architektur- und Ingenieurstudienaufträge</v>
      </c>
      <c r="E29" s="123"/>
      <c r="F29" s="123"/>
      <c r="G29" s="123"/>
      <c r="H29" s="123"/>
      <c r="I29" s="123"/>
      <c r="J29" s="123"/>
      <c r="K29" s="123"/>
      <c r="L29" s="1728" t="str">
        <f>Text!C631</f>
        <v>SIA 143:2009</v>
      </c>
      <c r="M29" s="1728"/>
      <c r="N29" s="1728"/>
      <c r="O29" s="1728"/>
      <c r="P29" s="1728"/>
      <c r="Q29" s="1728"/>
      <c r="R29" s="125"/>
      <c r="S29" s="125"/>
      <c r="T29" s="2024" t="s">
        <v>1452</v>
      </c>
      <c r="U29" s="2025"/>
      <c r="V29" s="2025"/>
      <c r="W29" s="2025"/>
      <c r="X29" s="2025"/>
      <c r="Y29" s="2025"/>
      <c r="Z29" s="250"/>
    </row>
    <row r="30" spans="1:26" s="1" customFormat="1" ht="15" customHeight="1">
      <c r="A30" s="246"/>
      <c r="B30" s="248"/>
      <c r="C30" s="248"/>
      <c r="D30" s="1" t="str">
        <f>Text!C632</f>
        <v>Ordnung für Ingenieur- und Architekturleistungsofferten</v>
      </c>
      <c r="E30" s="123"/>
      <c r="F30" s="123"/>
      <c r="G30" s="123"/>
      <c r="H30" s="123"/>
      <c r="I30" s="123"/>
      <c r="J30" s="123"/>
      <c r="K30" s="123"/>
      <c r="L30" s="1728" t="str">
        <f>Text!C633</f>
        <v>SIA 144:2013</v>
      </c>
      <c r="M30" s="1728"/>
      <c r="N30" s="1728"/>
      <c r="O30" s="1728"/>
      <c r="P30" s="1728"/>
      <c r="Q30" s="1728"/>
      <c r="R30" s="125"/>
      <c r="S30" s="125"/>
      <c r="T30" s="2024" t="s">
        <v>1453</v>
      </c>
      <c r="U30" s="2024"/>
      <c r="V30" s="2024"/>
      <c r="W30" s="2024"/>
      <c r="X30" s="2024"/>
      <c r="Y30" s="2024"/>
      <c r="Z30" s="250"/>
    </row>
    <row r="31" spans="1:26" s="1" customFormat="1" ht="15" customHeight="1">
      <c r="A31" s="246"/>
      <c r="B31" s="248"/>
      <c r="C31" s="248"/>
      <c r="E31" s="123"/>
      <c r="F31" s="123"/>
      <c r="G31" s="123"/>
      <c r="H31" s="123"/>
      <c r="I31" s="123"/>
      <c r="J31" s="123"/>
      <c r="K31" s="123"/>
      <c r="L31" s="125"/>
      <c r="M31" s="125"/>
      <c r="N31" s="125"/>
      <c r="O31" s="125"/>
      <c r="P31" s="125"/>
      <c r="Q31" s="125"/>
      <c r="R31" s="125"/>
      <c r="S31" s="125"/>
      <c r="T31" s="469"/>
      <c r="U31" s="272"/>
      <c r="V31" s="272"/>
      <c r="W31" s="272"/>
      <c r="X31" s="272"/>
      <c r="Y31" s="272"/>
      <c r="Z31" s="250"/>
    </row>
    <row r="32" spans="1:26" s="1" customFormat="1" ht="15" customHeight="1">
      <c r="A32" s="246"/>
      <c r="B32" s="248"/>
      <c r="C32" s="248"/>
      <c r="D32" s="1" t="str">
        <f>Text!C634</f>
        <v>Wärmeschutz, Feuchteschutz und Raumklima in Gebäuden</v>
      </c>
      <c r="E32" s="123"/>
      <c r="F32" s="123"/>
      <c r="G32" s="123"/>
      <c r="H32" s="123"/>
      <c r="I32" s="123"/>
      <c r="J32" s="123"/>
      <c r="K32" s="123"/>
      <c r="L32" s="1728" t="str">
        <f>Text!C635</f>
        <v xml:space="preserve">SIA 180:2014 </v>
      </c>
      <c r="M32" s="1728"/>
      <c r="N32" s="1728"/>
      <c r="O32" s="1728"/>
      <c r="P32" s="1728"/>
      <c r="Q32" s="1728"/>
      <c r="R32" s="125"/>
      <c r="S32" s="125"/>
      <c r="T32" s="2026" t="s">
        <v>1530</v>
      </c>
      <c r="U32" s="2027"/>
      <c r="V32" s="2027"/>
      <c r="W32" s="2027"/>
      <c r="X32" s="2027"/>
      <c r="Y32" s="2027"/>
      <c r="Z32" s="250"/>
    </row>
    <row r="33" spans="1:26" s="1" customFormat="1" ht="15" customHeight="1">
      <c r="A33" s="246"/>
      <c r="B33" s="248"/>
      <c r="C33" s="248"/>
      <c r="E33" s="123"/>
      <c r="F33" s="123"/>
      <c r="G33" s="123"/>
      <c r="H33" s="123"/>
      <c r="I33" s="123"/>
      <c r="J33" s="123"/>
      <c r="K33" s="123"/>
      <c r="L33" s="125"/>
      <c r="M33" s="125"/>
      <c r="N33" s="125"/>
      <c r="O33" s="125"/>
      <c r="P33" s="125"/>
      <c r="Q33" s="125"/>
      <c r="R33" s="125"/>
      <c r="S33" s="125"/>
      <c r="T33" s="469"/>
      <c r="U33" s="272"/>
      <c r="V33" s="272"/>
      <c r="W33" s="272"/>
      <c r="X33" s="272"/>
      <c r="Y33" s="272"/>
      <c r="Z33" s="250"/>
    </row>
    <row r="34" spans="1:26" s="1" customFormat="1" ht="15" customHeight="1">
      <c r="A34" s="246"/>
      <c r="B34" s="248"/>
      <c r="C34" s="248"/>
      <c r="D34" s="1" t="str">
        <f>Text!C636</f>
        <v>Schallschutz im Hochbau</v>
      </c>
      <c r="E34" s="123"/>
      <c r="F34" s="123"/>
      <c r="G34" s="123"/>
      <c r="H34" s="123"/>
      <c r="I34" s="123"/>
      <c r="J34" s="123"/>
      <c r="K34" s="123"/>
      <c r="L34" s="1728" t="str">
        <f>Text!C637</f>
        <v>SIA 181:2006</v>
      </c>
      <c r="M34" s="1728"/>
      <c r="N34" s="1728"/>
      <c r="O34" s="1728"/>
      <c r="P34" s="1728"/>
      <c r="Q34" s="1728"/>
      <c r="R34" s="125"/>
      <c r="S34" s="125"/>
      <c r="T34" s="2024" t="s">
        <v>1532</v>
      </c>
      <c r="U34" s="2025"/>
      <c r="V34" s="2025"/>
      <c r="W34" s="2025"/>
      <c r="X34" s="2025"/>
      <c r="Y34" s="2025"/>
      <c r="Z34" s="250"/>
    </row>
    <row r="35" spans="1:26" s="1" customFormat="1" ht="15" customHeight="1">
      <c r="A35" s="246"/>
      <c r="B35" s="248"/>
      <c r="C35" s="248"/>
      <c r="E35" s="123"/>
      <c r="F35" s="123"/>
      <c r="G35" s="123"/>
      <c r="H35" s="123"/>
      <c r="I35" s="123"/>
      <c r="J35" s="123"/>
      <c r="K35" s="123"/>
      <c r="L35" s="1728" t="str">
        <f>Text!C639</f>
        <v>SIA 181:2020</v>
      </c>
      <c r="M35" s="1728"/>
      <c r="N35" s="1728"/>
      <c r="O35" s="1728"/>
      <c r="P35" s="1728"/>
      <c r="Q35" s="1728"/>
      <c r="R35" s="125"/>
      <c r="S35" s="125"/>
      <c r="T35" s="2024" t="s">
        <v>1531</v>
      </c>
      <c r="U35" s="2025"/>
      <c r="V35" s="2025"/>
      <c r="W35" s="2025"/>
      <c r="X35" s="2025"/>
      <c r="Y35" s="2025"/>
      <c r="Z35" s="250"/>
    </row>
    <row r="36" spans="1:26" s="1" customFormat="1" ht="15" customHeight="1">
      <c r="A36" s="246"/>
      <c r="B36" s="248"/>
      <c r="C36" s="248"/>
      <c r="E36" s="123"/>
      <c r="F36" s="123"/>
      <c r="G36" s="123"/>
      <c r="H36" s="123"/>
      <c r="I36" s="123"/>
      <c r="J36" s="123"/>
      <c r="K36" s="123"/>
      <c r="L36" s="125"/>
      <c r="M36" s="125"/>
      <c r="N36" s="125"/>
      <c r="O36" s="125"/>
      <c r="P36" s="125"/>
      <c r="Q36" s="125"/>
      <c r="R36" s="125"/>
      <c r="S36" s="125"/>
      <c r="T36" s="469"/>
      <c r="U36" s="272"/>
      <c r="V36" s="272"/>
      <c r="W36" s="272"/>
      <c r="X36" s="272"/>
      <c r="Y36" s="272"/>
      <c r="Z36" s="250"/>
    </row>
    <row r="37" spans="1:26" s="1" customFormat="1" ht="15" customHeight="1">
      <c r="A37" s="246"/>
      <c r="B37" s="248"/>
      <c r="C37" s="248"/>
      <c r="D37" s="1" t="str">
        <f>Text!C640</f>
        <v>Einwirkungen auf Tragwerke</v>
      </c>
      <c r="E37" s="123"/>
      <c r="F37" s="123"/>
      <c r="G37" s="123"/>
      <c r="H37" s="123"/>
      <c r="I37" s="123"/>
      <c r="J37" s="123"/>
      <c r="K37" s="123"/>
      <c r="L37" s="4" t="str">
        <f>Text!C641</f>
        <v xml:space="preserve">SIA 261:2020 </v>
      </c>
      <c r="M37" s="4"/>
      <c r="N37" s="125"/>
      <c r="O37" s="125"/>
      <c r="P37" s="125"/>
      <c r="Q37" s="125"/>
      <c r="R37" s="125"/>
      <c r="S37" s="125"/>
      <c r="T37" s="2026" t="s">
        <v>1533</v>
      </c>
      <c r="U37" s="2027"/>
      <c r="V37" s="2027"/>
      <c r="W37" s="2027"/>
      <c r="X37" s="2027"/>
      <c r="Y37" s="2027"/>
      <c r="Z37" s="250"/>
    </row>
    <row r="38" spans="1:26" s="1" customFormat="1" ht="15" customHeight="1">
      <c r="A38" s="246"/>
      <c r="B38" s="248"/>
      <c r="C38" s="248"/>
      <c r="D38" s="1" t="str">
        <f>Text!C642</f>
        <v>Einwirkungen auf Tragwerke − Ergänzende Festlegungen</v>
      </c>
      <c r="E38" s="123"/>
      <c r="F38" s="123"/>
      <c r="G38" s="123"/>
      <c r="H38" s="123"/>
      <c r="I38" s="123"/>
      <c r="J38" s="123"/>
      <c r="K38" s="123"/>
      <c r="L38" s="4" t="str">
        <f>Text!C643</f>
        <v>SIA 261/1:2020</v>
      </c>
      <c r="M38" s="4"/>
      <c r="N38" s="125"/>
      <c r="O38" s="125"/>
      <c r="P38" s="125"/>
      <c r="Q38" s="125"/>
      <c r="R38" s="125"/>
      <c r="S38" s="125"/>
      <c r="T38" s="2026" t="s">
        <v>1534</v>
      </c>
      <c r="U38" s="2027"/>
      <c r="V38" s="2027"/>
      <c r="W38" s="2027"/>
      <c r="X38" s="2027"/>
      <c r="Y38" s="2027"/>
      <c r="Z38" s="250"/>
    </row>
    <row r="39" spans="1:26">
      <c r="B39" s="222"/>
      <c r="D39" s="1"/>
      <c r="E39" s="1"/>
      <c r="F39" s="1"/>
      <c r="G39" s="1"/>
      <c r="H39" s="1"/>
      <c r="I39" s="1"/>
      <c r="J39" s="1"/>
      <c r="K39" s="1"/>
      <c r="L39" s="1"/>
      <c r="M39" s="1"/>
      <c r="N39" s="1"/>
      <c r="O39" s="1"/>
      <c r="P39" s="1"/>
      <c r="Q39" s="1"/>
      <c r="R39" s="1"/>
      <c r="S39" s="1"/>
      <c r="T39" s="273"/>
      <c r="U39" s="273"/>
      <c r="V39" s="273"/>
      <c r="W39" s="273"/>
      <c r="X39" s="273"/>
      <c r="Y39" s="273"/>
      <c r="Z39" s="1"/>
    </row>
    <row r="40" spans="1:26" s="1" customFormat="1" ht="15" customHeight="1">
      <c r="A40" s="246"/>
      <c r="B40" s="248"/>
      <c r="C40" s="248"/>
      <c r="D40" s="1" t="str">
        <f>Text!C644</f>
        <v>Heizwärmebedarf</v>
      </c>
      <c r="E40" s="123"/>
      <c r="F40" s="123"/>
      <c r="G40" s="123"/>
      <c r="H40" s="123"/>
      <c r="I40" s="123"/>
      <c r="J40" s="123"/>
      <c r="K40" s="123"/>
      <c r="L40" s="4" t="str">
        <f>Text!C645</f>
        <v>SIA 380/1:2016</v>
      </c>
      <c r="M40" s="4"/>
      <c r="N40" s="125"/>
      <c r="O40" s="125"/>
      <c r="P40" s="125"/>
      <c r="Q40" s="125"/>
      <c r="R40" s="125"/>
      <c r="S40" s="125"/>
      <c r="T40" s="2028" t="s">
        <v>1535</v>
      </c>
      <c r="U40" s="2029"/>
      <c r="V40" s="2029"/>
      <c r="W40" s="2029"/>
      <c r="X40" s="2029"/>
      <c r="Y40" s="2029"/>
      <c r="Z40" s="250"/>
    </row>
    <row r="41" spans="1:26">
      <c r="B41" s="222"/>
      <c r="D41" s="1"/>
      <c r="E41" s="1"/>
      <c r="F41" s="1"/>
      <c r="G41" s="1"/>
      <c r="H41" s="1"/>
      <c r="I41" s="1"/>
      <c r="J41" s="1"/>
      <c r="K41" s="1"/>
      <c r="L41" s="1"/>
      <c r="M41" s="1"/>
      <c r="N41" s="1"/>
      <c r="O41" s="1"/>
      <c r="P41" s="1"/>
      <c r="Q41" s="1"/>
      <c r="R41" s="1"/>
      <c r="S41" s="1"/>
      <c r="T41" s="273"/>
      <c r="U41" s="273"/>
      <c r="V41" s="273"/>
      <c r="W41" s="273"/>
      <c r="X41" s="273"/>
      <c r="Y41" s="273"/>
      <c r="Z41" s="1"/>
    </row>
    <row r="42" spans="1:26" s="1" customFormat="1" ht="15" customHeight="1">
      <c r="A42" s="246"/>
      <c r="B42" s="248"/>
      <c r="C42" s="248"/>
      <c r="D42" s="1" t="str">
        <f>Text!C646</f>
        <v>Klimatisierte Gebäude − Leistungs- und Energiebedarf</v>
      </c>
      <c r="E42" s="123"/>
      <c r="F42" s="123"/>
      <c r="G42" s="123"/>
      <c r="H42" s="123"/>
      <c r="I42" s="123"/>
      <c r="J42" s="123"/>
      <c r="K42" s="123"/>
      <c r="L42" s="4" t="str">
        <f>Text!C647</f>
        <v>SIA 382/1:2011</v>
      </c>
      <c r="M42" s="4"/>
      <c r="N42" s="125"/>
      <c r="O42" s="125"/>
      <c r="P42" s="125"/>
      <c r="Q42" s="125"/>
      <c r="R42" s="125"/>
      <c r="S42" s="125"/>
      <c r="T42" s="2028" t="s">
        <v>1539</v>
      </c>
      <c r="U42" s="2029"/>
      <c r="V42" s="2029"/>
      <c r="W42" s="2029"/>
      <c r="X42" s="2029"/>
      <c r="Y42" s="2029"/>
      <c r="Z42" s="250"/>
    </row>
    <row r="43" spans="1:26" s="1" customFormat="1" ht="15" customHeight="1">
      <c r="A43" s="246"/>
      <c r="B43" s="248"/>
      <c r="C43" s="248"/>
      <c r="E43" s="123"/>
      <c r="F43" s="123"/>
      <c r="G43" s="123"/>
      <c r="H43" s="123"/>
      <c r="I43" s="123"/>
      <c r="J43" s="123"/>
      <c r="K43" s="123"/>
      <c r="L43" s="4"/>
      <c r="M43" s="4"/>
      <c r="N43" s="125"/>
      <c r="O43" s="125"/>
      <c r="P43" s="125"/>
      <c r="Q43" s="125"/>
      <c r="R43" s="125"/>
      <c r="S43" s="125"/>
      <c r="T43" s="468"/>
      <c r="U43" s="468"/>
      <c r="V43" s="468"/>
      <c r="W43" s="468"/>
      <c r="X43" s="468"/>
      <c r="Y43" s="468"/>
      <c r="Z43" s="250"/>
    </row>
    <row r="44" spans="1:26" s="1" customFormat="1" ht="15" customHeight="1">
      <c r="A44" s="246"/>
      <c r="B44" s="248"/>
      <c r="C44" s="248"/>
      <c r="D44" s="1" t="str">
        <f>Text!C648</f>
        <v>Elektrizität in Gebäuden − Beleuchtung: Berechnung und Anforderungen</v>
      </c>
      <c r="E44" s="123"/>
      <c r="F44" s="123"/>
      <c r="G44" s="123"/>
      <c r="H44" s="123"/>
      <c r="I44" s="123"/>
      <c r="J44" s="123"/>
      <c r="K44" s="123"/>
      <c r="L44" s="4" t="str">
        <f>Text!C649</f>
        <v>SIA 387/4:2023</v>
      </c>
      <c r="M44" s="4"/>
      <c r="N44" s="125"/>
      <c r="O44" s="125"/>
      <c r="P44" s="125"/>
      <c r="Q44" s="125"/>
      <c r="R44" s="125"/>
      <c r="S44" s="125"/>
      <c r="T44" s="2028" t="s">
        <v>1540</v>
      </c>
      <c r="U44" s="2029"/>
      <c r="V44" s="2029"/>
      <c r="W44" s="2029"/>
      <c r="X44" s="2029"/>
      <c r="Y44" s="2029"/>
      <c r="Z44" s="250"/>
    </row>
    <row r="45" spans="1:26" s="1" customFormat="1" ht="15" customHeight="1">
      <c r="A45" s="246"/>
      <c r="B45" s="248"/>
      <c r="C45" s="248"/>
      <c r="E45" s="123"/>
      <c r="F45" s="123"/>
      <c r="G45" s="123"/>
      <c r="H45" s="123"/>
      <c r="I45" s="123"/>
      <c r="J45" s="123"/>
      <c r="K45" s="123"/>
      <c r="L45" s="125"/>
      <c r="M45" s="125"/>
      <c r="N45" s="125"/>
      <c r="O45" s="125"/>
      <c r="P45" s="125"/>
      <c r="Q45" s="125"/>
      <c r="R45" s="125"/>
      <c r="S45" s="125"/>
      <c r="T45" s="469"/>
      <c r="U45" s="272"/>
      <c r="V45" s="272"/>
      <c r="W45" s="272"/>
      <c r="X45" s="272"/>
      <c r="Y45" s="272"/>
      <c r="Z45" s="250"/>
    </row>
    <row r="46" spans="1:26" s="1" customFormat="1" ht="15" customHeight="1">
      <c r="A46" s="246"/>
      <c r="B46" s="248"/>
      <c r="C46" s="248"/>
      <c r="D46" s="1" t="str">
        <f>Text!C650</f>
        <v>Entwässerung von Baustellen</v>
      </c>
      <c r="E46" s="123"/>
      <c r="F46" s="123"/>
      <c r="G46" s="123"/>
      <c r="H46" s="123"/>
      <c r="I46" s="123"/>
      <c r="J46" s="123"/>
      <c r="K46" s="123"/>
      <c r="L46" s="4" t="str">
        <f>Text!C651</f>
        <v xml:space="preserve">SIA 431:2022 </v>
      </c>
      <c r="M46" s="4"/>
      <c r="N46" s="125"/>
      <c r="O46" s="125"/>
      <c r="P46" s="125"/>
      <c r="Q46" s="125"/>
      <c r="R46" s="125"/>
      <c r="S46" s="125"/>
      <c r="T46" s="2024" t="s">
        <v>1541</v>
      </c>
      <c r="U46" s="2025"/>
      <c r="V46" s="2025"/>
      <c r="W46" s="2025"/>
      <c r="X46" s="2025"/>
      <c r="Y46" s="2025"/>
      <c r="Z46" s="250"/>
    </row>
    <row r="47" spans="1:26" s="1" customFormat="1" ht="15" customHeight="1">
      <c r="A47" s="246"/>
      <c r="B47" s="248"/>
      <c r="C47" s="248"/>
      <c r="E47" s="123"/>
      <c r="F47" s="123"/>
      <c r="G47" s="123"/>
      <c r="H47" s="123"/>
      <c r="I47" s="123"/>
      <c r="J47" s="123"/>
      <c r="K47" s="123"/>
      <c r="L47" s="125"/>
      <c r="M47" s="125"/>
      <c r="N47" s="125"/>
      <c r="O47" s="125"/>
      <c r="P47" s="125"/>
      <c r="Q47" s="125"/>
      <c r="R47" s="125"/>
      <c r="S47" s="125"/>
      <c r="T47" s="469"/>
      <c r="U47" s="272"/>
      <c r="V47" s="272"/>
      <c r="W47" s="272"/>
      <c r="X47" s="272"/>
      <c r="Y47" s="272"/>
      <c r="Z47" s="250"/>
    </row>
    <row r="48" spans="1:26" s="1" customFormat="1" ht="15" customHeight="1">
      <c r="A48" s="246"/>
      <c r="B48" s="248"/>
      <c r="C48" s="248"/>
      <c r="D48" s="1" t="str">
        <f>Text!C652</f>
        <v>Hindernisfreie Bauten</v>
      </c>
      <c r="E48" s="123"/>
      <c r="F48" s="123"/>
      <c r="G48" s="123"/>
      <c r="H48" s="123"/>
      <c r="I48" s="123"/>
      <c r="J48" s="123"/>
      <c r="K48" s="123"/>
      <c r="L48" s="4" t="str">
        <f>Text!C653</f>
        <v>SIA 500:2009</v>
      </c>
      <c r="M48" s="4"/>
      <c r="N48" s="125"/>
      <c r="O48" s="125"/>
      <c r="P48" s="125"/>
      <c r="Q48" s="125"/>
      <c r="R48" s="125"/>
      <c r="S48" s="125"/>
      <c r="T48" s="2026" t="s">
        <v>1542</v>
      </c>
      <c r="U48" s="2027"/>
      <c r="V48" s="2027"/>
      <c r="W48" s="2027"/>
      <c r="X48" s="2027"/>
      <c r="Y48" s="2027"/>
      <c r="Z48" s="250"/>
    </row>
    <row r="49" spans="1:26" s="1" customFormat="1" ht="15" customHeight="1">
      <c r="A49" s="246"/>
      <c r="B49" s="248"/>
      <c r="C49" s="248"/>
      <c r="E49" s="123"/>
      <c r="F49" s="123"/>
      <c r="G49" s="123"/>
      <c r="H49" s="123"/>
      <c r="I49" s="123"/>
      <c r="J49" s="123"/>
      <c r="K49" s="123"/>
      <c r="L49" s="125"/>
      <c r="M49" s="125"/>
      <c r="N49" s="125"/>
      <c r="O49" s="125"/>
      <c r="P49" s="125"/>
      <c r="Q49" s="125"/>
      <c r="R49" s="125"/>
      <c r="S49" s="125"/>
      <c r="T49" s="469"/>
      <c r="U49" s="272"/>
      <c r="V49" s="272"/>
      <c r="W49" s="272"/>
      <c r="X49" s="272"/>
      <c r="Y49" s="272"/>
      <c r="Z49" s="250"/>
    </row>
    <row r="50" spans="1:26" s="1" customFormat="1" ht="15" customHeight="1">
      <c r="A50" s="246"/>
      <c r="B50" s="248"/>
      <c r="C50" s="248"/>
      <c r="D50" s="1" t="str">
        <f>Text!C654</f>
        <v>Graue Energie − Ökobilanzierung für die Erstellung von Gebäuden</v>
      </c>
      <c r="E50" s="123"/>
      <c r="F50" s="123"/>
      <c r="G50" s="123"/>
      <c r="H50" s="123"/>
      <c r="I50" s="123"/>
      <c r="J50" s="123"/>
      <c r="K50" s="123"/>
      <c r="L50" s="4" t="str">
        <f>Text!C655</f>
        <v xml:space="preserve">SIA 2032:2020 </v>
      </c>
      <c r="M50" s="4"/>
      <c r="N50" s="125"/>
      <c r="O50" s="124"/>
      <c r="P50" s="124"/>
      <c r="Q50" s="124"/>
      <c r="R50" s="125"/>
      <c r="S50" s="125"/>
      <c r="T50" s="2026" t="s">
        <v>1543</v>
      </c>
      <c r="U50" s="2027"/>
      <c r="V50" s="2027"/>
      <c r="W50" s="2027"/>
      <c r="X50" s="2027"/>
      <c r="Y50" s="2027"/>
      <c r="Z50" s="250"/>
    </row>
    <row r="51" spans="1:26" s="1" customFormat="1" ht="15" customHeight="1">
      <c r="A51" s="246"/>
      <c r="B51" s="248"/>
      <c r="C51" s="248"/>
      <c r="E51" s="123"/>
      <c r="F51" s="123"/>
      <c r="G51" s="123"/>
      <c r="H51" s="123"/>
      <c r="I51" s="123"/>
      <c r="J51" s="123"/>
      <c r="K51" s="123"/>
      <c r="L51" s="125"/>
      <c r="M51" s="125"/>
      <c r="N51" s="125"/>
      <c r="O51" s="125"/>
      <c r="P51" s="125"/>
      <c r="Q51" s="125"/>
      <c r="R51" s="125"/>
      <c r="S51" s="125"/>
      <c r="T51" s="469"/>
      <c r="U51" s="272"/>
      <c r="V51" s="272"/>
      <c r="W51" s="272"/>
      <c r="X51" s="272"/>
      <c r="Y51" s="272"/>
      <c r="Z51" s="250"/>
    </row>
    <row r="52" spans="1:26" s="1" customFormat="1" ht="15" customHeight="1">
      <c r="A52" s="246"/>
      <c r="B52" s="248"/>
      <c r="C52" s="248"/>
      <c r="D52" s="1" t="str">
        <f>Text!C656</f>
        <v>Mobilität – Energiebedarf in Abhängigkeit vom Gebäudestandort</v>
      </c>
      <c r="E52" s="123"/>
      <c r="F52" s="123"/>
      <c r="G52" s="123"/>
      <c r="H52" s="123"/>
      <c r="I52" s="123"/>
      <c r="J52" s="123"/>
      <c r="K52" s="123"/>
      <c r="L52" s="4" t="str">
        <f>Text!C657</f>
        <v>SIA 2039:2016</v>
      </c>
      <c r="M52" s="4"/>
      <c r="N52" s="125"/>
      <c r="O52" s="124"/>
      <c r="P52" s="124"/>
      <c r="Q52" s="124"/>
      <c r="R52" s="125"/>
      <c r="S52" s="125"/>
      <c r="T52" s="2024" t="s">
        <v>1544</v>
      </c>
      <c r="U52" s="2025"/>
      <c r="V52" s="2025"/>
      <c r="W52" s="2025"/>
      <c r="X52" s="2025"/>
      <c r="Y52" s="2025"/>
      <c r="Z52" s="250"/>
    </row>
    <row r="53" spans="1:26" s="1" customFormat="1" ht="15" customHeight="1">
      <c r="A53" s="246"/>
      <c r="B53" s="248"/>
      <c r="C53" s="248"/>
      <c r="E53" s="123"/>
      <c r="F53" s="123"/>
      <c r="G53" s="123"/>
      <c r="H53" s="123"/>
      <c r="I53" s="123"/>
      <c r="J53" s="123"/>
      <c r="K53" s="123"/>
      <c r="L53" s="123"/>
      <c r="M53" s="123"/>
      <c r="N53" s="124"/>
      <c r="O53" s="124"/>
      <c r="P53" s="124"/>
      <c r="Q53" s="124"/>
      <c r="R53" s="125"/>
      <c r="S53" s="125"/>
      <c r="T53" s="469"/>
      <c r="U53" s="469"/>
      <c r="V53" s="469"/>
      <c r="W53" s="469"/>
      <c r="X53" s="469"/>
      <c r="Y53" s="469"/>
      <c r="Z53" s="250"/>
    </row>
    <row r="54" spans="1:26" s="1" customFormat="1" ht="15" customHeight="1">
      <c r="A54" s="246"/>
      <c r="B54" s="248"/>
      <c r="C54" s="248"/>
      <c r="D54" s="1" t="str">
        <f>Text!C658</f>
        <v>SIA Effizienzpfad Energie</v>
      </c>
      <c r="E54" s="123"/>
      <c r="F54" s="123"/>
      <c r="G54" s="123"/>
      <c r="H54" s="123"/>
      <c r="I54" s="123"/>
      <c r="J54" s="123"/>
      <c r="K54" s="123"/>
      <c r="L54" s="4" t="str">
        <f>Text!C659</f>
        <v xml:space="preserve">SIA 2040:2017 </v>
      </c>
      <c r="M54" s="4"/>
      <c r="N54" s="125"/>
      <c r="O54" s="124"/>
      <c r="P54" s="124"/>
      <c r="Q54" s="124"/>
      <c r="R54" s="125"/>
      <c r="S54" s="125"/>
      <c r="T54" s="2026" t="s">
        <v>1545</v>
      </c>
      <c r="U54" s="2027"/>
      <c r="V54" s="2027"/>
      <c r="W54" s="2027"/>
      <c r="X54" s="2027"/>
      <c r="Y54" s="2027"/>
      <c r="Z54" s="250"/>
    </row>
    <row r="55" spans="1:26" s="1" customFormat="1" ht="15" customHeight="1">
      <c r="A55" s="246"/>
      <c r="B55" s="248"/>
      <c r="C55" s="248"/>
      <c r="E55" s="123"/>
      <c r="F55" s="123"/>
      <c r="G55" s="123"/>
      <c r="H55" s="123"/>
      <c r="I55" s="123"/>
      <c r="J55" s="123"/>
      <c r="K55" s="123"/>
      <c r="L55" s="123"/>
      <c r="M55" s="123"/>
      <c r="N55" s="124"/>
      <c r="O55" s="124"/>
      <c r="P55" s="124"/>
      <c r="Q55" s="124"/>
      <c r="R55" s="125"/>
      <c r="S55" s="125"/>
      <c r="T55" s="469"/>
      <c r="U55" s="469"/>
      <c r="V55" s="469"/>
      <c r="W55" s="469"/>
      <c r="X55" s="469"/>
      <c r="Y55" s="469"/>
      <c r="Z55" s="250"/>
    </row>
    <row r="56" spans="1:26" s="1" customFormat="1" ht="15" customHeight="1">
      <c r="A56" s="246"/>
      <c r="B56" s="248"/>
      <c r="C56" s="248"/>
      <c r="D56" s="1" t="str">
        <f>Text!C660</f>
        <v>Energetische Betriebsoptimierung</v>
      </c>
      <c r="E56" s="123"/>
      <c r="F56" s="123"/>
      <c r="G56" s="123"/>
      <c r="H56" s="123"/>
      <c r="I56" s="123"/>
      <c r="J56" s="123"/>
      <c r="K56" s="123"/>
      <c r="L56" s="4" t="str">
        <f>Text!C661</f>
        <v xml:space="preserve">SIA 2048:2015 </v>
      </c>
      <c r="M56" s="4"/>
      <c r="N56" s="125"/>
      <c r="O56" s="124"/>
      <c r="P56" s="124"/>
      <c r="Q56" s="124"/>
      <c r="R56" s="125"/>
      <c r="S56" s="125"/>
      <c r="T56" s="2026" t="s">
        <v>1546</v>
      </c>
      <c r="U56" s="2027"/>
      <c r="V56" s="2027"/>
      <c r="W56" s="2027"/>
      <c r="X56" s="2027"/>
      <c r="Y56" s="2027"/>
      <c r="Z56" s="250"/>
    </row>
    <row r="57" spans="1:26" s="48" customFormat="1" ht="45" customHeight="1">
      <c r="A57" s="94"/>
      <c r="B57" s="270"/>
      <c r="C57" s="270"/>
      <c r="D57" s="203"/>
      <c r="E57" s="203"/>
      <c r="F57" s="203"/>
      <c r="G57" s="203"/>
      <c r="H57" s="203"/>
      <c r="I57" s="203"/>
      <c r="J57" s="203"/>
      <c r="K57" s="203"/>
      <c r="L57" s="203"/>
      <c r="M57" s="203"/>
      <c r="N57" s="203"/>
      <c r="O57" s="203"/>
      <c r="P57" s="203"/>
      <c r="Q57" s="203"/>
      <c r="R57" s="203"/>
      <c r="S57" s="203"/>
      <c r="T57" s="272"/>
      <c r="U57" s="272"/>
      <c r="V57" s="272"/>
      <c r="W57" s="272"/>
      <c r="X57" s="273"/>
      <c r="Y57" s="273"/>
    </row>
    <row r="58" spans="1:26" s="1" customFormat="1" ht="15" customHeight="1">
      <c r="A58" s="246"/>
      <c r="B58" s="248"/>
      <c r="C58" s="248" t="s">
        <v>7</v>
      </c>
      <c r="D58" s="255" t="str">
        <f>Text!C463</f>
        <v xml:space="preserve">Durchgängigkeit des SNBS und Minergie® </v>
      </c>
      <c r="E58" s="125"/>
      <c r="F58" s="125"/>
      <c r="G58" s="125"/>
      <c r="H58" s="125"/>
      <c r="I58" s="125"/>
      <c r="J58" s="125"/>
      <c r="K58" s="125"/>
      <c r="L58" s="125"/>
      <c r="M58" s="125"/>
      <c r="N58" s="125"/>
      <c r="O58" s="125"/>
      <c r="P58" s="125"/>
      <c r="Q58" s="125"/>
      <c r="R58" s="125"/>
      <c r="S58" s="125"/>
      <c r="T58" s="252"/>
      <c r="U58" s="252"/>
      <c r="V58" s="252"/>
      <c r="W58" s="252"/>
      <c r="X58" s="254"/>
      <c r="Y58" s="254"/>
    </row>
    <row r="59" spans="1:26" s="1" customFormat="1" ht="15" customHeight="1">
      <c r="A59" s="246"/>
      <c r="B59" s="248"/>
      <c r="C59" s="248"/>
      <c r="D59" s="125"/>
      <c r="E59" s="125"/>
      <c r="F59" s="125"/>
      <c r="G59" s="125"/>
      <c r="H59" s="125"/>
      <c r="I59" s="125"/>
      <c r="J59" s="125"/>
      <c r="K59" s="125"/>
      <c r="L59" s="125"/>
      <c r="M59" s="125"/>
      <c r="N59" s="125"/>
      <c r="O59" s="125"/>
      <c r="P59" s="125"/>
      <c r="Q59" s="125"/>
      <c r="R59" s="125"/>
      <c r="S59" s="125"/>
      <c r="T59" s="252"/>
      <c r="U59" s="252"/>
      <c r="V59" s="252"/>
      <c r="W59" s="252"/>
      <c r="X59" s="254"/>
      <c r="Y59" s="254"/>
    </row>
    <row r="60" spans="1:26" s="1" customFormat="1" ht="30" customHeight="1">
      <c r="A60" s="246"/>
      <c r="B60" s="248"/>
      <c r="C60" s="248"/>
      <c r="D60" s="1728" t="str">
        <f>Text!C464</f>
        <v>Mit dem SNBS 2023.1 wird die Labelfamilie des Bundesamts für Energie (GEAK und Minergie (-ECO)) gestärkt. Wenn bei Kriterien Anforderungen und Ziele dieser Label bestehen, werden diese im SNBS 2023.1 aufgenommen. Doppel- und Mehrfachzertifizierungen werden als Nachweise anerkannt, der Zusatzaufwand wird reduziert.</v>
      </c>
      <c r="E60" s="1728"/>
      <c r="F60" s="1728"/>
      <c r="G60" s="1728"/>
      <c r="H60" s="1728"/>
      <c r="I60" s="1728"/>
      <c r="J60" s="1728"/>
      <c r="K60" s="1728"/>
      <c r="L60" s="1728"/>
      <c r="M60" s="1728"/>
      <c r="N60" s="1728"/>
      <c r="O60" s="1728"/>
      <c r="P60" s="1728"/>
      <c r="Q60" s="1728"/>
      <c r="R60" s="1728"/>
      <c r="S60" s="1728"/>
      <c r="T60" s="1728"/>
      <c r="U60" s="1728"/>
      <c r="V60" s="1728"/>
      <c r="W60" s="1728"/>
      <c r="X60" s="1728"/>
      <c r="Y60" s="1728"/>
    </row>
    <row r="61" spans="1:26" s="1" customFormat="1" ht="15" customHeight="1">
      <c r="A61" s="246"/>
      <c r="B61" s="248"/>
      <c r="C61" s="248"/>
      <c r="E61" s="125"/>
      <c r="F61" s="125"/>
      <c r="G61" s="125"/>
      <c r="H61" s="125"/>
      <c r="I61" s="125"/>
      <c r="J61" s="125"/>
      <c r="K61" s="125"/>
      <c r="L61" s="125"/>
      <c r="M61" s="125"/>
      <c r="N61" s="125"/>
      <c r="O61" s="125"/>
      <c r="P61" s="125"/>
      <c r="Q61" s="125"/>
      <c r="R61" s="125"/>
      <c r="S61" s="125"/>
      <c r="T61" s="252"/>
      <c r="U61" s="252"/>
      <c r="V61" s="252"/>
      <c r="W61" s="252"/>
      <c r="X61" s="254"/>
      <c r="Y61" s="254"/>
    </row>
    <row r="62" spans="1:26" s="1" customFormat="1" ht="30" customHeight="1">
      <c r="A62" s="246"/>
      <c r="B62" s="248"/>
      <c r="C62" s="248"/>
      <c r="G62" s="2035" t="str">
        <f>Text!C465</f>
        <v>Bei ''Minergie''-Kriterien wird wie folgt eine Note automatisch vergeben:</v>
      </c>
      <c r="H62" s="2035"/>
      <c r="I62" s="2035"/>
      <c r="J62" s="2035"/>
      <c r="K62" s="467"/>
      <c r="L62" s="467"/>
      <c r="M62" s="467"/>
      <c r="N62" s="412" t="str">
        <f>Text!C466</f>
        <v>Minergie</v>
      </c>
      <c r="O62" s="412"/>
      <c r="P62" s="412"/>
      <c r="Q62" s="412" t="str">
        <f>Text!C467</f>
        <v>Minergie A</v>
      </c>
      <c r="R62" s="412"/>
      <c r="S62" s="412"/>
      <c r="T62" s="412" t="str">
        <f>Text!C468</f>
        <v>Minergie P</v>
      </c>
      <c r="U62" s="464"/>
      <c r="V62" s="464"/>
      <c r="W62" s="252"/>
      <c r="X62" s="254"/>
      <c r="Y62" s="254"/>
    </row>
    <row r="63" spans="1:26" s="1" customFormat="1" ht="5.15" customHeight="1">
      <c r="A63" s="246"/>
      <c r="B63" s="248"/>
      <c r="C63" s="248"/>
      <c r="G63" s="4"/>
      <c r="H63" s="125"/>
      <c r="I63" s="125"/>
      <c r="J63" s="125"/>
      <c r="K63" s="125"/>
      <c r="L63" s="125"/>
      <c r="M63" s="125"/>
      <c r="N63" s="465"/>
      <c r="O63" s="465"/>
      <c r="P63" s="465"/>
      <c r="Q63" s="465"/>
      <c r="R63" s="465"/>
      <c r="S63" s="465"/>
      <c r="T63" s="465"/>
      <c r="U63" s="252"/>
      <c r="V63" s="252"/>
      <c r="W63" s="252"/>
      <c r="X63" s="254"/>
      <c r="Y63" s="254"/>
    </row>
    <row r="64" spans="1:26" s="1" customFormat="1" ht="15" customHeight="1">
      <c r="A64" s="246"/>
      <c r="B64" s="248"/>
      <c r="C64" s="248"/>
      <c r="E64" s="1301" t="str">
        <f>Text!AQ30</f>
        <v>141</v>
      </c>
      <c r="G64" s="1162" t="str">
        <f>Text!AR30</f>
        <v>Raumluftqualität</v>
      </c>
      <c r="H64" s="1162"/>
      <c r="I64" s="1162"/>
      <c r="J64" s="1162"/>
      <c r="K64" s="125"/>
      <c r="L64" s="125"/>
      <c r="M64" s="125"/>
      <c r="N64" s="465">
        <v>5</v>
      </c>
      <c r="O64" s="465"/>
      <c r="P64" s="465"/>
      <c r="Q64" s="465">
        <v>5</v>
      </c>
      <c r="R64" s="465"/>
      <c r="S64" s="465"/>
      <c r="T64" s="465">
        <v>5</v>
      </c>
      <c r="U64" s="252"/>
      <c r="V64" s="252"/>
      <c r="W64" s="252"/>
      <c r="X64" s="254"/>
      <c r="Y64" s="254"/>
    </row>
    <row r="65" spans="1:25" s="1" customFormat="1" ht="2.15" customHeight="1">
      <c r="A65" s="246"/>
      <c r="B65" s="248"/>
      <c r="C65" s="248"/>
      <c r="E65" s="11"/>
      <c r="H65" s="125"/>
      <c r="I65" s="125"/>
      <c r="J65" s="125"/>
      <c r="K65" s="125"/>
      <c r="L65" s="125"/>
      <c r="M65" s="125"/>
      <c r="N65" s="465"/>
      <c r="O65" s="465"/>
      <c r="P65" s="465"/>
      <c r="Q65" s="465"/>
      <c r="R65" s="465"/>
      <c r="S65" s="465"/>
      <c r="T65" s="465"/>
      <c r="U65" s="252"/>
      <c r="V65" s="252"/>
      <c r="W65" s="252"/>
      <c r="X65" s="254"/>
      <c r="Y65" s="254"/>
    </row>
    <row r="66" spans="1:25" s="1" customFormat="1" ht="15" customHeight="1">
      <c r="A66" s="246"/>
      <c r="B66" s="248"/>
      <c r="C66" s="248"/>
      <c r="E66" s="1302">
        <f>Text!AQ33</f>
        <v>144</v>
      </c>
      <c r="G66" s="1162" t="str">
        <f>Text!AR33</f>
        <v>Sommerlicher Wärmeschutz</v>
      </c>
      <c r="H66" s="1162"/>
      <c r="I66" s="1162"/>
      <c r="J66" s="1162"/>
      <c r="K66" s="125"/>
      <c r="L66" s="125"/>
      <c r="M66" s="125"/>
      <c r="N66" s="465">
        <v>5</v>
      </c>
      <c r="O66" s="465"/>
      <c r="P66" s="465"/>
      <c r="Q66" s="465">
        <v>5</v>
      </c>
      <c r="R66" s="465"/>
      <c r="S66" s="465"/>
      <c r="T66" s="465">
        <v>5</v>
      </c>
      <c r="U66" s="252"/>
      <c r="V66" s="252"/>
      <c r="W66" s="252"/>
      <c r="X66" s="254"/>
      <c r="Y66" s="254"/>
    </row>
    <row r="67" spans="1:25" s="1" customFormat="1" ht="2.15" customHeight="1">
      <c r="A67" s="246"/>
      <c r="B67" s="248"/>
      <c r="C67" s="248"/>
      <c r="E67" s="11"/>
      <c r="H67" s="125"/>
      <c r="I67" s="125"/>
      <c r="J67" s="125"/>
      <c r="K67" s="125"/>
      <c r="L67" s="125"/>
      <c r="M67" s="125"/>
      <c r="N67" s="465"/>
      <c r="O67" s="465"/>
      <c r="P67" s="465"/>
      <c r="Q67" s="465"/>
      <c r="R67" s="465"/>
      <c r="S67" s="465"/>
      <c r="T67" s="465"/>
      <c r="U67" s="252"/>
      <c r="V67" s="252"/>
      <c r="W67" s="252"/>
      <c r="X67" s="254"/>
      <c r="Y67" s="254"/>
    </row>
    <row r="68" spans="1:25" s="1" customFormat="1" ht="15" customHeight="1">
      <c r="A68" s="246"/>
      <c r="B68" s="248"/>
      <c r="C68" s="248"/>
      <c r="E68" s="1302">
        <f>Text!AQ34</f>
        <v>145</v>
      </c>
      <c r="G68" s="1162" t="str">
        <f>Text!AR34</f>
        <v>Winterlicher Wärmeschutz</v>
      </c>
      <c r="H68" s="1162"/>
      <c r="I68" s="1162"/>
      <c r="J68" s="1162"/>
      <c r="K68" s="125"/>
      <c r="L68" s="125"/>
      <c r="M68" s="125"/>
      <c r="N68" s="465">
        <v>5</v>
      </c>
      <c r="O68" s="465"/>
      <c r="P68" s="465"/>
      <c r="Q68" s="465">
        <v>5.5</v>
      </c>
      <c r="R68" s="465"/>
      <c r="S68" s="465"/>
      <c r="T68" s="465">
        <v>6</v>
      </c>
      <c r="U68" s="252"/>
      <c r="V68" s="252"/>
      <c r="W68" s="252"/>
      <c r="X68" s="254"/>
      <c r="Y68" s="254"/>
    </row>
    <row r="69" spans="1:25" s="1" customFormat="1" ht="2.15" customHeight="1">
      <c r="A69" s="246"/>
      <c r="B69" s="248"/>
      <c r="C69" s="248"/>
      <c r="E69" s="11"/>
      <c r="H69" s="125"/>
      <c r="I69" s="125"/>
      <c r="J69" s="125"/>
      <c r="K69" s="125"/>
      <c r="L69" s="125"/>
      <c r="M69" s="125"/>
      <c r="N69" s="465"/>
      <c r="O69" s="465"/>
      <c r="P69" s="465"/>
      <c r="Q69" s="465"/>
      <c r="R69" s="465"/>
      <c r="S69" s="465"/>
      <c r="T69" s="465"/>
      <c r="U69" s="252"/>
      <c r="V69" s="252"/>
      <c r="W69" s="252"/>
      <c r="X69" s="254"/>
      <c r="Y69" s="254"/>
    </row>
    <row r="70" spans="1:25" s="1" customFormat="1" ht="15" customHeight="1">
      <c r="A70" s="246"/>
      <c r="B70" s="248"/>
      <c r="C70" s="248"/>
      <c r="E70" s="1302">
        <f>Text!AQ50</f>
        <v>322</v>
      </c>
      <c r="G70" s="1290" t="str">
        <f>Text!AR50</f>
        <v>Energiebedarf Betrieb</v>
      </c>
      <c r="H70" s="1290"/>
      <c r="I70" s="1290"/>
      <c r="J70" s="1290"/>
      <c r="K70" s="125"/>
      <c r="L70" s="125"/>
      <c r="M70" s="125"/>
      <c r="N70" s="465">
        <v>5</v>
      </c>
      <c r="O70" s="465"/>
      <c r="P70" s="465"/>
      <c r="Q70" s="465">
        <v>5.5</v>
      </c>
      <c r="R70" s="465"/>
      <c r="S70" s="465"/>
      <c r="T70" s="465">
        <v>5.5</v>
      </c>
      <c r="U70" s="252"/>
      <c r="V70" s="252"/>
      <c r="W70" s="252"/>
      <c r="X70" s="254"/>
      <c r="Y70" s="254"/>
    </row>
    <row r="71" spans="1:25" s="1" customFormat="1" ht="2.15" customHeight="1">
      <c r="A71" s="246"/>
      <c r="B71" s="248"/>
      <c r="C71" s="248"/>
      <c r="E71" s="11"/>
      <c r="H71" s="125"/>
      <c r="I71" s="125"/>
      <c r="J71" s="125"/>
      <c r="K71" s="125"/>
      <c r="L71" s="125"/>
      <c r="M71" s="125"/>
      <c r="N71" s="465"/>
      <c r="O71" s="465"/>
      <c r="P71" s="465"/>
      <c r="Q71" s="465"/>
      <c r="R71" s="465"/>
      <c r="S71" s="465"/>
      <c r="T71" s="465"/>
      <c r="U71" s="252"/>
      <c r="V71" s="252"/>
      <c r="W71" s="252"/>
      <c r="X71" s="254"/>
      <c r="Y71" s="254"/>
    </row>
    <row r="72" spans="1:25" s="1" customFormat="1" ht="15" customHeight="1">
      <c r="A72" s="246"/>
      <c r="B72" s="248"/>
      <c r="C72" s="248"/>
      <c r="E72" s="1302">
        <f>Text!AQ54</f>
        <v>334</v>
      </c>
      <c r="G72" s="1290" t="str">
        <f>Text!AR54</f>
        <v>Energiemonitoring</v>
      </c>
      <c r="H72" s="1290"/>
      <c r="I72" s="1290"/>
      <c r="J72" s="1290"/>
      <c r="K72" s="125"/>
      <c r="L72" s="125"/>
      <c r="M72" s="125"/>
      <c r="N72" s="465">
        <v>5.5</v>
      </c>
      <c r="O72" s="465"/>
      <c r="P72" s="465"/>
      <c r="Q72" s="465">
        <v>5.5</v>
      </c>
      <c r="R72" s="465"/>
      <c r="S72" s="465"/>
      <c r="T72" s="465">
        <v>5.5</v>
      </c>
      <c r="U72" s="252"/>
      <c r="V72" s="252"/>
      <c r="W72" s="252"/>
      <c r="X72" s="254"/>
      <c r="Y72" s="254"/>
    </row>
    <row r="73" spans="1:25" s="1" customFormat="1" ht="2.15" customHeight="1">
      <c r="A73" s="246"/>
      <c r="B73" s="248"/>
      <c r="C73" s="248"/>
      <c r="H73" s="125"/>
      <c r="I73" s="125"/>
      <c r="J73" s="125"/>
      <c r="K73" s="125"/>
      <c r="L73" s="125"/>
      <c r="M73" s="125"/>
      <c r="N73" s="465"/>
      <c r="O73" s="465"/>
      <c r="P73" s="465"/>
      <c r="Q73" s="465"/>
      <c r="R73" s="465"/>
      <c r="S73" s="465"/>
      <c r="T73" s="465"/>
      <c r="U73" s="252"/>
      <c r="V73" s="252"/>
      <c r="W73" s="252"/>
      <c r="X73" s="254"/>
      <c r="Y73" s="254"/>
    </row>
    <row r="74" spans="1:25" s="1" customFormat="1" ht="2.15" customHeight="1">
      <c r="A74" s="246"/>
      <c r="B74" s="248"/>
      <c r="C74" s="248"/>
      <c r="D74" s="2031"/>
      <c r="E74" s="2031"/>
      <c r="F74" s="2031"/>
      <c r="G74" s="2031"/>
      <c r="H74" s="125"/>
      <c r="I74" s="125"/>
      <c r="J74" s="465"/>
      <c r="K74" s="465"/>
      <c r="L74" s="465"/>
      <c r="M74" s="465"/>
      <c r="N74" s="465"/>
      <c r="O74" s="465"/>
      <c r="P74" s="465"/>
      <c r="Q74" s="466"/>
      <c r="U74" s="252"/>
      <c r="V74" s="252"/>
      <c r="W74" s="252"/>
      <c r="X74" s="254"/>
      <c r="Y74" s="254"/>
    </row>
    <row r="75" spans="1:25" s="1" customFormat="1" ht="15" customHeight="1">
      <c r="A75" s="246"/>
      <c r="B75" s="248"/>
      <c r="C75" s="248"/>
      <c r="E75" s="125"/>
      <c r="F75" s="125"/>
      <c r="G75" s="125"/>
      <c r="H75" s="125"/>
      <c r="I75" s="125"/>
      <c r="J75" s="125"/>
      <c r="K75" s="125"/>
      <c r="L75" s="125"/>
      <c r="M75" s="125"/>
      <c r="N75" s="125"/>
      <c r="O75" s="125"/>
      <c r="P75" s="125"/>
      <c r="Q75" s="125"/>
      <c r="R75" s="125"/>
      <c r="S75" s="125"/>
      <c r="T75" s="252"/>
      <c r="U75" s="252"/>
      <c r="V75" s="252"/>
      <c r="W75" s="252"/>
      <c r="X75" s="254"/>
      <c r="Y75" s="254"/>
    </row>
    <row r="76" spans="1:25" s="1" customFormat="1" ht="15" customHeight="1">
      <c r="A76" s="246"/>
      <c r="B76" s="248"/>
      <c r="C76" s="248"/>
      <c r="E76" s="2040" t="str">
        <f>Text!C469</f>
        <v>In folgenden Kriterien werden ECO-Anforderungen direkt übernommen:</v>
      </c>
      <c r="F76" s="2040"/>
      <c r="G76" s="2040"/>
      <c r="H76" s="2040"/>
      <c r="I76" s="2040"/>
      <c r="J76" s="2040"/>
      <c r="K76" s="2040"/>
      <c r="L76" s="2040"/>
      <c r="M76" s="2040"/>
      <c r="N76" s="2040"/>
      <c r="O76" s="2040"/>
      <c r="P76" s="2040"/>
      <c r="Q76" s="2040"/>
      <c r="R76" s="2040"/>
      <c r="S76" s="2040"/>
      <c r="T76" s="123"/>
      <c r="U76" s="123"/>
      <c r="V76" s="123"/>
      <c r="W76" s="123"/>
      <c r="X76" s="254"/>
      <c r="Y76" s="254"/>
    </row>
    <row r="77" spans="1:25" s="1" customFormat="1" ht="5.15" customHeight="1">
      <c r="A77" s="246"/>
      <c r="B77" s="248"/>
      <c r="C77" s="248"/>
      <c r="D77" s="125"/>
      <c r="E77" s="125"/>
      <c r="F77" s="125"/>
      <c r="G77" s="125"/>
      <c r="H77" s="125"/>
      <c r="I77" s="125"/>
      <c r="J77" s="125"/>
      <c r="K77" s="125"/>
      <c r="L77" s="125"/>
      <c r="M77" s="125"/>
      <c r="N77" s="125"/>
      <c r="O77" s="125"/>
      <c r="P77" s="125"/>
      <c r="Q77" s="125"/>
      <c r="R77" s="125"/>
      <c r="S77" s="125"/>
      <c r="T77" s="252"/>
      <c r="U77" s="252"/>
      <c r="V77" s="252"/>
      <c r="W77" s="252"/>
      <c r="X77" s="254"/>
      <c r="Y77" s="254"/>
    </row>
    <row r="78" spans="1:25" s="1" customFormat="1" ht="15" customHeight="1">
      <c r="A78" s="246"/>
      <c r="B78" s="248"/>
      <c r="C78" s="248"/>
      <c r="D78" s="125"/>
      <c r="E78" s="1301" t="str">
        <f>Text!AQ30</f>
        <v>141</v>
      </c>
      <c r="F78" s="125"/>
      <c r="G78" s="1162" t="str">
        <f>Text!AR28&amp;" "&amp;Text!C663</f>
        <v>Räume sozialer Interaktion : Messgrösse 4</v>
      </c>
      <c r="H78" s="1162"/>
      <c r="I78" s="1162"/>
      <c r="J78" s="1162"/>
      <c r="K78" s="125"/>
      <c r="L78" s="1302">
        <f>Text!AQ46</f>
        <v>311</v>
      </c>
      <c r="M78" s="125"/>
      <c r="N78" s="1290" t="str">
        <f>Text!AR46&amp;" "&amp;Text!C666</f>
        <v>Treibhausgasemissionen Erstellung : Messgrösse 1</v>
      </c>
      <c r="O78" s="1290"/>
      <c r="P78" s="1290"/>
      <c r="Q78" s="1290"/>
      <c r="U78" s="252"/>
      <c r="V78" s="252"/>
      <c r="W78" s="252"/>
      <c r="X78" s="254"/>
      <c r="Y78" s="254"/>
    </row>
    <row r="79" spans="1:25" s="1" customFormat="1" ht="2.15" customHeight="1">
      <c r="A79" s="246"/>
      <c r="B79" s="248"/>
      <c r="C79" s="248"/>
      <c r="D79" s="125"/>
      <c r="E79" s="11"/>
      <c r="F79" s="125"/>
      <c r="H79" s="125"/>
      <c r="I79" s="125"/>
      <c r="J79" s="125"/>
      <c r="K79" s="125"/>
      <c r="L79" s="11"/>
      <c r="M79" s="125"/>
      <c r="O79" s="125"/>
      <c r="P79" s="125"/>
      <c r="Q79" s="125"/>
      <c r="U79" s="252"/>
      <c r="V79" s="252"/>
      <c r="W79" s="252"/>
      <c r="X79" s="254"/>
      <c r="Y79" s="254"/>
    </row>
    <row r="80" spans="1:25" s="1" customFormat="1" ht="15" customHeight="1">
      <c r="A80" s="246"/>
      <c r="B80" s="248"/>
      <c r="C80" s="248"/>
      <c r="D80" s="125"/>
      <c r="E80" s="1302">
        <f>Text!AQ31</f>
        <v>142</v>
      </c>
      <c r="F80" s="125"/>
      <c r="G80" s="1162" t="str">
        <f>Text!AR31</f>
        <v>Schadstoffe &amp; Strahlung</v>
      </c>
      <c r="H80" s="1162"/>
      <c r="I80" s="1162"/>
      <c r="J80" s="1162"/>
      <c r="K80" s="125"/>
      <c r="L80" s="1302">
        <f>Text!AQ49</f>
        <v>321</v>
      </c>
      <c r="M80" s="125"/>
      <c r="N80" s="1290" t="str">
        <f>Text!AR49&amp;" "&amp;Text!C666</f>
        <v>Energiebedarf Erstellung : Messgrösse 1</v>
      </c>
      <c r="O80" s="1290"/>
      <c r="P80" s="1290"/>
      <c r="Q80" s="1290"/>
      <c r="U80" s="252"/>
      <c r="V80" s="252"/>
      <c r="W80" s="252"/>
      <c r="X80" s="254"/>
      <c r="Y80" s="254"/>
    </row>
    <row r="81" spans="1:25" s="1" customFormat="1" ht="2.15" customHeight="1">
      <c r="A81" s="246"/>
      <c r="B81" s="248"/>
      <c r="C81" s="248"/>
      <c r="D81" s="125"/>
      <c r="E81" s="11"/>
      <c r="F81" s="125"/>
      <c r="H81" s="125"/>
      <c r="I81" s="125"/>
      <c r="J81" s="125"/>
      <c r="K81" s="125"/>
      <c r="L81" s="11"/>
      <c r="M81" s="125"/>
      <c r="O81" s="125"/>
      <c r="P81" s="125"/>
      <c r="Q81" s="125"/>
      <c r="U81" s="252"/>
      <c r="V81" s="252"/>
      <c r="W81" s="252"/>
      <c r="X81" s="254"/>
      <c r="Y81" s="254"/>
    </row>
    <row r="82" spans="1:25" s="1" customFormat="1" ht="15" customHeight="1">
      <c r="A82" s="246"/>
      <c r="B82" s="248"/>
      <c r="C82" s="248"/>
      <c r="D82" s="125"/>
      <c r="E82" s="1302">
        <f>Text!AQ35</f>
        <v>146</v>
      </c>
      <c r="F82" s="125"/>
      <c r="G82" s="1162" t="str">
        <f>Text!AR35&amp;" "&amp;Text!C664</f>
        <v>Tageslicht : Messgrössen 2, 3</v>
      </c>
      <c r="H82" s="1162"/>
      <c r="I82" s="1162"/>
      <c r="J82" s="1162"/>
      <c r="K82" s="125"/>
      <c r="L82" s="1302">
        <f>Text!AQ51</f>
        <v>331</v>
      </c>
      <c r="M82" s="125"/>
      <c r="N82" s="1290" t="str">
        <f>Text!AR51&amp;" "&amp;Text!C667</f>
        <v>Baustelle : Messgrössen 2, 5</v>
      </c>
      <c r="O82" s="1290"/>
      <c r="P82" s="1290"/>
      <c r="Q82" s="1290"/>
      <c r="U82" s="252"/>
      <c r="V82" s="252"/>
      <c r="W82" s="252"/>
      <c r="X82" s="254"/>
      <c r="Y82" s="254"/>
    </row>
    <row r="83" spans="1:25" s="1" customFormat="1" ht="2.15" customHeight="1">
      <c r="A83" s="246"/>
      <c r="B83" s="248"/>
      <c r="C83" s="248"/>
      <c r="D83" s="125"/>
      <c r="E83" s="11"/>
      <c r="F83" s="125"/>
      <c r="H83" s="125"/>
      <c r="I83" s="125"/>
      <c r="J83" s="125"/>
      <c r="K83" s="125"/>
      <c r="L83" s="11"/>
      <c r="M83" s="125"/>
      <c r="O83" s="125"/>
      <c r="P83" s="125"/>
      <c r="Q83" s="125"/>
      <c r="U83" s="252"/>
      <c r="V83" s="252"/>
      <c r="W83" s="252"/>
      <c r="X83" s="254"/>
      <c r="Y83" s="254"/>
    </row>
    <row r="84" spans="1:25" s="1" customFormat="1" ht="15" customHeight="1">
      <c r="A84" s="246"/>
      <c r="B84" s="248"/>
      <c r="C84" s="248"/>
      <c r="D84" s="125"/>
      <c r="E84" s="1302">
        <f>Text!AQ36</f>
        <v>147</v>
      </c>
      <c r="F84" s="125"/>
      <c r="G84" s="1162" t="str">
        <f>Text!AR36&amp;" "&amp;Text!C665</f>
        <v>Schallschutz : Messgrössen 1, 2</v>
      </c>
      <c r="H84" s="1162"/>
      <c r="I84" s="1162"/>
      <c r="J84" s="1162"/>
      <c r="K84" s="125"/>
      <c r="L84" s="1302">
        <f>Text!AQ52</f>
        <v>332</v>
      </c>
      <c r="M84" s="125"/>
      <c r="N84" s="1290" t="str">
        <f>Text!AR52</f>
        <v>Ökologische Baustoffe</v>
      </c>
      <c r="O84" s="1290"/>
      <c r="P84" s="1290"/>
      <c r="Q84" s="1290"/>
      <c r="U84" s="252"/>
      <c r="V84" s="252"/>
      <c r="W84" s="252"/>
      <c r="X84" s="254"/>
      <c r="Y84" s="254"/>
    </row>
    <row r="85" spans="1:25" s="1" customFormat="1" ht="2.15" customHeight="1">
      <c r="A85" s="246"/>
      <c r="B85" s="248"/>
      <c r="C85" s="248"/>
      <c r="D85" s="125"/>
      <c r="E85" s="11"/>
      <c r="F85" s="125"/>
      <c r="H85" s="125"/>
      <c r="I85" s="125"/>
      <c r="J85" s="125"/>
      <c r="K85" s="125"/>
      <c r="L85" s="11"/>
      <c r="M85" s="125"/>
      <c r="O85" s="125"/>
      <c r="P85" s="125"/>
      <c r="Q85" s="125"/>
      <c r="U85" s="252"/>
      <c r="V85" s="252"/>
      <c r="W85" s="252"/>
      <c r="X85" s="254"/>
      <c r="Y85" s="254"/>
    </row>
    <row r="86" spans="1:25" s="1" customFormat="1" ht="15" customHeight="1">
      <c r="A86" s="246"/>
      <c r="B86" s="248"/>
      <c r="C86" s="248"/>
      <c r="D86" s="125"/>
      <c r="E86" s="1302">
        <f>Text!AQ40</f>
        <v>213</v>
      </c>
      <c r="F86" s="125"/>
      <c r="G86" s="36" t="str">
        <f>Text!AR40&amp;" "&amp;Text!C665</f>
        <v>Wiederverwendung &amp; Systemtrennung : Messgrössen 1, 2</v>
      </c>
      <c r="H86" s="36"/>
      <c r="I86" s="36"/>
      <c r="J86" s="36"/>
      <c r="K86" s="125"/>
      <c r="L86" s="1302">
        <f>Text!AQ58</f>
        <v>342</v>
      </c>
      <c r="M86" s="125"/>
      <c r="N86" s="1290" t="str">
        <f>Text!AR58&amp;" "&amp;Text!C668</f>
        <v>Wasser : Messgrössen 2, 3, 5</v>
      </c>
      <c r="O86" s="1290"/>
      <c r="P86" s="1290"/>
      <c r="Q86" s="1290"/>
      <c r="U86" s="252"/>
      <c r="V86" s="252"/>
      <c r="W86" s="252"/>
      <c r="X86" s="254"/>
      <c r="Y86" s="254"/>
    </row>
    <row r="87" spans="1:25" s="1" customFormat="1" ht="2.15" customHeight="1">
      <c r="A87" s="246"/>
      <c r="B87" s="248"/>
      <c r="C87" s="248"/>
      <c r="D87" s="125"/>
      <c r="E87" s="125"/>
      <c r="F87" s="125"/>
      <c r="H87" s="125"/>
      <c r="I87" s="125"/>
      <c r="J87" s="125"/>
      <c r="K87" s="125"/>
      <c r="L87" s="125"/>
      <c r="M87" s="125"/>
      <c r="O87" s="125"/>
      <c r="P87" s="125"/>
      <c r="Q87" s="125"/>
      <c r="R87" s="125"/>
      <c r="S87" s="125"/>
      <c r="T87" s="125"/>
      <c r="U87" s="252"/>
      <c r="V87" s="252"/>
      <c r="W87" s="252"/>
      <c r="X87" s="254"/>
      <c r="Y87" s="254"/>
    </row>
    <row r="88" spans="1:25" s="1" customFormat="1" ht="15" customHeight="1">
      <c r="A88" s="246"/>
      <c r="B88" s="248"/>
      <c r="C88" s="248"/>
      <c r="D88" s="125"/>
      <c r="E88" s="125"/>
      <c r="F88" s="125"/>
      <c r="G88" s="125"/>
      <c r="H88" s="125"/>
      <c r="I88" s="125"/>
      <c r="J88" s="125"/>
      <c r="K88" s="125"/>
      <c r="L88" s="125"/>
      <c r="M88" s="125"/>
      <c r="N88" s="125"/>
      <c r="O88" s="125"/>
      <c r="P88" s="125"/>
      <c r="Q88" s="125"/>
      <c r="R88" s="125"/>
      <c r="S88" s="125"/>
      <c r="T88" s="252"/>
      <c r="U88" s="252"/>
      <c r="V88" s="252"/>
      <c r="W88" s="252"/>
      <c r="X88" s="254"/>
      <c r="Y88" s="254"/>
    </row>
    <row r="89" spans="1:25" s="1" customFormat="1" ht="15" customHeight="1">
      <c r="A89" s="246"/>
      <c r="B89" s="248"/>
      <c r="C89" s="248"/>
      <c r="D89" s="4" t="str">
        <f>Text!C470</f>
        <v>Bei den Kriterien 146, 311 und 321 stellt Minergie ECO weiterführende Dokumente unter folgender Adresse zur Verfügung:</v>
      </c>
      <c r="E89" s="125"/>
      <c r="F89" s="125"/>
      <c r="G89" s="125"/>
      <c r="H89" s="125"/>
      <c r="I89" s="125"/>
      <c r="J89" s="125"/>
      <c r="K89" s="125"/>
      <c r="L89" s="125"/>
      <c r="M89" s="125"/>
      <c r="N89" s="125"/>
      <c r="O89" s="125"/>
      <c r="P89" s="125"/>
      <c r="R89" s="252"/>
      <c r="S89" s="252"/>
      <c r="T89" s="252" t="s">
        <v>510</v>
      </c>
      <c r="U89" s="252"/>
      <c r="V89" s="252"/>
      <c r="W89" s="272"/>
      <c r="X89" s="273"/>
      <c r="Y89" s="273"/>
    </row>
    <row r="90" spans="1:25" s="1" customFormat="1" ht="35.5" customHeight="1">
      <c r="A90" s="246"/>
      <c r="B90" s="248"/>
      <c r="C90" s="248"/>
      <c r="D90" s="1728" t="str">
        <f>Text!C471</f>
        <v>Bei allen SNBS-Messgrössen, die auf Minergie-ECO verweisen, wird die 20/80-Regel gemäss Vorgabenkatalog von Minergie-ECO übernommen. Bei allen übrigen Messgrössen müssen die Anforderungen zu 100 % umgesetzt werden, um als «vollständig umgesetzt» zu gelten.</v>
      </c>
      <c r="E90" s="1728"/>
      <c r="F90" s="1728"/>
      <c r="G90" s="1728"/>
      <c r="H90" s="1728"/>
      <c r="I90" s="1728"/>
      <c r="J90" s="1728"/>
      <c r="K90" s="1728"/>
      <c r="L90" s="1728"/>
      <c r="M90" s="1728"/>
      <c r="N90" s="1728"/>
      <c r="O90" s="1728"/>
      <c r="P90" s="1728"/>
      <c r="Q90" s="1728"/>
      <c r="R90" s="1728"/>
      <c r="S90" s="1728"/>
      <c r="T90" s="1728"/>
      <c r="U90" s="1728"/>
      <c r="V90" s="1728"/>
      <c r="W90" s="1728"/>
      <c r="X90" s="1728"/>
      <c r="Y90" s="1728"/>
    </row>
    <row r="91" spans="1:25" s="48" customFormat="1" ht="45" customHeight="1">
      <c r="A91" s="94"/>
      <c r="B91" s="270"/>
      <c r="C91" s="270"/>
      <c r="D91" s="203"/>
      <c r="E91" s="203"/>
      <c r="F91" s="203"/>
      <c r="G91" s="203"/>
      <c r="H91" s="203"/>
      <c r="I91" s="203"/>
      <c r="J91" s="203"/>
      <c r="K91" s="203"/>
      <c r="L91" s="203"/>
      <c r="M91" s="203"/>
      <c r="N91" s="203"/>
      <c r="O91" s="203"/>
      <c r="P91" s="203"/>
      <c r="Q91" s="203"/>
      <c r="R91" s="203"/>
      <c r="S91" s="203"/>
      <c r="T91" s="92"/>
      <c r="U91" s="92"/>
      <c r="V91" s="92"/>
      <c r="W91" s="92"/>
      <c r="X91" s="8"/>
      <c r="Y91" s="8"/>
    </row>
    <row r="92" spans="1:25" s="1" customFormat="1" ht="15" customHeight="1">
      <c r="A92" s="246"/>
      <c r="B92" s="248"/>
      <c r="C92" s="248" t="s">
        <v>8</v>
      </c>
      <c r="D92" s="256" t="str">
        <f>Text!C474</f>
        <v>Weitere Grundlagen</v>
      </c>
      <c r="E92" s="125"/>
      <c r="F92" s="125"/>
      <c r="G92" s="125"/>
      <c r="H92" s="125"/>
      <c r="I92" s="125"/>
      <c r="J92" s="125"/>
      <c r="K92" s="125"/>
      <c r="L92" s="125"/>
      <c r="M92" s="125"/>
      <c r="N92" s="125"/>
      <c r="O92" s="125"/>
      <c r="P92" s="125"/>
      <c r="Q92" s="125"/>
      <c r="R92" s="125"/>
      <c r="S92" s="125"/>
      <c r="T92" s="4"/>
      <c r="U92" s="4"/>
      <c r="V92" s="4"/>
      <c r="W92" s="4"/>
      <c r="X92" s="11"/>
      <c r="Y92" s="11"/>
    </row>
    <row r="93" spans="1:25" s="1" customFormat="1" ht="15" customHeight="1">
      <c r="A93" s="246"/>
      <c r="B93" s="248"/>
      <c r="C93" s="248"/>
      <c r="D93" s="125"/>
      <c r="E93" s="125"/>
      <c r="F93" s="125"/>
      <c r="G93" s="125"/>
      <c r="H93" s="125"/>
      <c r="I93" s="125"/>
      <c r="J93" s="125"/>
      <c r="K93" s="125"/>
      <c r="L93" s="125"/>
      <c r="M93" s="125"/>
      <c r="N93" s="125"/>
      <c r="O93" s="125"/>
      <c r="P93" s="125"/>
      <c r="Q93" s="125"/>
      <c r="R93" s="125"/>
      <c r="S93" s="125"/>
      <c r="T93" s="4"/>
      <c r="U93" s="4"/>
      <c r="V93" s="4"/>
      <c r="W93" s="4"/>
      <c r="X93" s="11"/>
      <c r="Y93" s="11"/>
    </row>
    <row r="94" spans="1:25" s="1" customFormat="1" ht="15" customHeight="1">
      <c r="A94" s="246"/>
      <c r="B94" s="248"/>
      <c r="C94" s="248"/>
      <c r="D94" s="4" t="str">
        <f>Text!C475</f>
        <v>Nicht auf SIA oder Minergie aufbauende Normen und Richtlinien finden sich mit dem unten angegebenen Link zu den jeweiligen Webseiten:</v>
      </c>
      <c r="E94" s="125"/>
      <c r="F94" s="125"/>
      <c r="G94" s="125"/>
      <c r="H94" s="125"/>
      <c r="I94" s="125"/>
      <c r="J94" s="125"/>
      <c r="K94" s="125"/>
      <c r="L94" s="125"/>
      <c r="M94" s="125"/>
      <c r="N94" s="125"/>
      <c r="O94" s="125"/>
      <c r="P94" s="125"/>
      <c r="Q94" s="125"/>
      <c r="R94" s="125"/>
      <c r="S94" s="125"/>
      <c r="T94" s="4"/>
      <c r="U94" s="4"/>
      <c r="V94" s="4"/>
      <c r="W94" s="4"/>
      <c r="X94" s="11"/>
      <c r="Y94" s="11"/>
    </row>
    <row r="95" spans="1:25" s="1" customFormat="1" ht="15" customHeight="1">
      <c r="A95" s="246"/>
      <c r="B95" s="248"/>
      <c r="C95" s="248"/>
      <c r="D95" s="125"/>
      <c r="E95" s="125"/>
      <c r="F95" s="125"/>
      <c r="G95" s="125"/>
      <c r="H95" s="125"/>
      <c r="I95" s="125"/>
      <c r="J95" s="125"/>
      <c r="K95" s="125"/>
      <c r="L95" s="125"/>
      <c r="M95" s="125"/>
      <c r="N95" s="125"/>
      <c r="O95" s="125"/>
      <c r="P95" s="125"/>
      <c r="Q95" s="125"/>
      <c r="R95" s="125"/>
      <c r="S95" s="125"/>
      <c r="T95" s="4"/>
      <c r="U95" s="4"/>
      <c r="V95" s="4"/>
      <c r="W95" s="4"/>
      <c r="X95" s="11"/>
      <c r="Y95" s="11"/>
    </row>
    <row r="96" spans="1:25" s="1" customFormat="1" ht="15" customHeight="1">
      <c r="A96" s="246"/>
      <c r="B96" s="248"/>
      <c r="C96" s="248"/>
      <c r="D96" s="125" t="str">
        <f>Text!C476</f>
        <v>SNV Normen</v>
      </c>
      <c r="F96" s="125"/>
      <c r="G96" s="2031" t="str">
        <f>Text!C477</f>
        <v>Tageslicht in Gebäuden</v>
      </c>
      <c r="H96" s="2031"/>
      <c r="I96" s="2031"/>
      <c r="J96" s="2031"/>
      <c r="K96" s="125"/>
      <c r="L96" s="1767" t="str">
        <f>Text!C478</f>
        <v>SNV Norm SN EN 17037</v>
      </c>
      <c r="M96" s="1767"/>
      <c r="N96" s="1767"/>
      <c r="O96" s="1767"/>
      <c r="P96" s="1767"/>
      <c r="Q96" s="1767"/>
      <c r="R96" s="125"/>
      <c r="S96" s="125"/>
      <c r="T96" s="2026" t="s">
        <v>1567</v>
      </c>
      <c r="U96" s="2027"/>
      <c r="V96" s="2027"/>
      <c r="W96" s="2027"/>
      <c r="X96" s="2027"/>
      <c r="Y96" s="2027"/>
    </row>
    <row r="97" spans="1:26" s="1" customFormat="1" ht="15" customHeight="1">
      <c r="A97" s="246"/>
      <c r="B97" s="248"/>
      <c r="C97" s="248"/>
      <c r="D97" s="125"/>
      <c r="E97" s="125"/>
      <c r="F97" s="125"/>
      <c r="G97" s="125"/>
      <c r="H97" s="125"/>
      <c r="I97" s="125"/>
      <c r="J97" s="125"/>
      <c r="K97" s="125"/>
      <c r="L97" s="125"/>
      <c r="M97" s="125"/>
      <c r="N97" s="125"/>
      <c r="O97" s="125"/>
      <c r="P97" s="125"/>
      <c r="Q97" s="125"/>
      <c r="R97" s="125"/>
      <c r="S97" s="125"/>
      <c r="T97" s="272"/>
      <c r="U97" s="272"/>
      <c r="V97" s="272"/>
      <c r="W97" s="272"/>
      <c r="X97" s="273"/>
      <c r="Y97" s="273"/>
    </row>
    <row r="98" spans="1:26" s="1" customFormat="1" ht="15" customHeight="1">
      <c r="A98" s="246"/>
      <c r="B98" s="248"/>
      <c r="D98" s="4" t="str">
        <f>Text!C479</f>
        <v>SUVA Richtlinien</v>
      </c>
      <c r="E98" s="125"/>
      <c r="F98" s="125"/>
      <c r="G98" s="2031" t="str">
        <f>Text!C480</f>
        <v>Schallschutz</v>
      </c>
      <c r="H98" s="2031"/>
      <c r="I98" s="2031"/>
      <c r="J98" s="2031"/>
      <c r="K98" s="125"/>
      <c r="L98" s="4" t="str">
        <f>Text!C481</f>
        <v>Akustische Grenz- und Richtwerte</v>
      </c>
      <c r="M98" s="4"/>
      <c r="T98" s="2029" t="s">
        <v>193</v>
      </c>
      <c r="U98" s="2029"/>
      <c r="V98" s="2029"/>
      <c r="W98" s="2029"/>
      <c r="X98" s="2029"/>
      <c r="Y98" s="2029"/>
    </row>
    <row r="99" spans="1:26" s="1" customFormat="1" ht="15" customHeight="1">
      <c r="A99" s="246"/>
      <c r="B99" s="248"/>
      <c r="C99" s="248"/>
      <c r="D99" s="125"/>
      <c r="E99" s="125"/>
      <c r="F99" s="125"/>
      <c r="G99" s="125"/>
      <c r="H99" s="125"/>
      <c r="I99" s="125"/>
      <c r="J99" s="125"/>
      <c r="K99" s="125"/>
      <c r="L99" s="125"/>
      <c r="M99" s="125"/>
      <c r="N99" s="125"/>
      <c r="O99" s="125"/>
      <c r="P99" s="125"/>
      <c r="Q99" s="125"/>
      <c r="R99" s="125"/>
      <c r="S99" s="125"/>
      <c r="T99" s="272"/>
      <c r="U99" s="272"/>
      <c r="V99" s="272"/>
      <c r="W99" s="272"/>
      <c r="X99" s="273"/>
      <c r="Y99" s="273"/>
    </row>
    <row r="100" spans="1:26" s="1" customFormat="1" ht="15" customHeight="1">
      <c r="A100" s="246"/>
      <c r="B100" s="248"/>
      <c r="C100" s="248"/>
      <c r="D100" s="1" t="str">
        <f>Text!C482</f>
        <v>BAFU Richtlinien</v>
      </c>
      <c r="E100" s="125"/>
      <c r="F100" s="125"/>
      <c r="G100" s="2040" t="str">
        <f>Text!C483</f>
        <v>Umweltbelastung auf der Baustelle</v>
      </c>
      <c r="H100" s="2040"/>
      <c r="I100" s="2040"/>
      <c r="J100" s="2040"/>
      <c r="K100" s="125"/>
      <c r="L100" s="257" t="str">
        <f>Text!C484</f>
        <v>Bodenschutz auf der Baustelle</v>
      </c>
      <c r="M100" s="257"/>
      <c r="N100" s="125"/>
      <c r="O100" s="125"/>
      <c r="P100" s="125"/>
      <c r="Q100" s="125"/>
      <c r="R100" s="125"/>
      <c r="S100" s="125"/>
      <c r="T100" s="2025" t="s">
        <v>198</v>
      </c>
      <c r="U100" s="2025"/>
      <c r="V100" s="2025"/>
      <c r="W100" s="2025"/>
      <c r="X100" s="2025"/>
      <c r="Y100" s="2025"/>
    </row>
    <row r="101" spans="1:26" s="1" customFormat="1" ht="15" customHeight="1">
      <c r="A101" s="246"/>
      <c r="B101" s="248"/>
      <c r="C101" s="248"/>
      <c r="D101" s="125"/>
      <c r="E101" s="125"/>
      <c r="F101" s="125"/>
      <c r="G101" s="125"/>
      <c r="H101" s="125"/>
      <c r="I101" s="125"/>
      <c r="J101" s="125"/>
      <c r="K101" s="125"/>
      <c r="L101" s="4" t="str">
        <f>Text!C485</f>
        <v>Luftreinhaltung auf Baustellen</v>
      </c>
      <c r="M101" s="4"/>
      <c r="O101" s="125"/>
      <c r="P101" s="125"/>
      <c r="Q101" s="125"/>
      <c r="R101" s="125"/>
      <c r="S101" s="125"/>
      <c r="T101" s="2025" t="s">
        <v>200</v>
      </c>
      <c r="U101" s="2038"/>
      <c r="V101" s="2038"/>
      <c r="W101" s="2038"/>
      <c r="X101" s="2038"/>
      <c r="Y101" s="2038"/>
    </row>
    <row r="102" spans="1:26" s="1" customFormat="1" ht="15" customHeight="1">
      <c r="A102" s="246"/>
      <c r="B102" s="248"/>
      <c r="C102" s="248"/>
      <c r="D102" s="125"/>
      <c r="E102" s="125"/>
      <c r="F102" s="125"/>
      <c r="G102" s="1728"/>
      <c r="H102" s="1728"/>
      <c r="I102" s="1728"/>
      <c r="J102" s="1728"/>
      <c r="K102" s="125"/>
      <c r="L102" s="4" t="str">
        <f>Text!C486</f>
        <v>Baulärm-Richtlinie</v>
      </c>
      <c r="M102" s="4"/>
      <c r="N102" s="125"/>
      <c r="O102" s="125"/>
      <c r="P102" s="125"/>
      <c r="Q102" s="125"/>
      <c r="R102" s="125"/>
      <c r="S102" s="125"/>
      <c r="T102" s="2025" t="s">
        <v>202</v>
      </c>
      <c r="U102" s="2038"/>
      <c r="V102" s="2038"/>
      <c r="W102" s="2038"/>
      <c r="X102" s="2038"/>
      <c r="Y102" s="2038"/>
    </row>
    <row r="103" spans="1:26" s="1" customFormat="1" ht="15" customHeight="1">
      <c r="A103" s="246"/>
      <c r="B103" s="248"/>
      <c r="C103" s="248"/>
      <c r="D103" s="125"/>
      <c r="E103" s="125"/>
      <c r="F103" s="125"/>
      <c r="G103" s="125"/>
      <c r="H103" s="125"/>
      <c r="I103" s="125"/>
      <c r="J103" s="125"/>
      <c r="K103" s="125"/>
      <c r="L103" s="125"/>
      <c r="M103" s="125"/>
      <c r="N103" s="125"/>
      <c r="O103" s="125"/>
      <c r="P103" s="125"/>
      <c r="Q103" s="125"/>
      <c r="R103" s="125"/>
      <c r="S103" s="125"/>
      <c r="T103" s="272"/>
      <c r="U103" s="272"/>
      <c r="V103" s="272"/>
      <c r="W103" s="272"/>
      <c r="X103" s="273"/>
      <c r="Y103" s="273"/>
    </row>
    <row r="104" spans="1:26" s="1" customFormat="1" ht="15" customHeight="1">
      <c r="A104" s="246"/>
      <c r="B104" s="248"/>
      <c r="C104" s="248"/>
      <c r="D104" s="125" t="str">
        <f>Text!C487</f>
        <v>Eco-BKP Richtlinien</v>
      </c>
      <c r="E104" s="125"/>
      <c r="F104" s="125"/>
      <c r="G104" s="4" t="str">
        <f>Text!C488</f>
        <v>Gemeinsame Baustelleneinrichtungen</v>
      </c>
      <c r="H104" s="125"/>
      <c r="I104" s="125"/>
      <c r="J104" s="125"/>
      <c r="K104" s="125"/>
      <c r="L104" s="1" t="str">
        <f>Text!C489</f>
        <v>Eco-BKP 130</v>
      </c>
      <c r="N104" s="125"/>
      <c r="O104" s="125"/>
      <c r="P104" s="125"/>
      <c r="Q104" s="125"/>
      <c r="R104" s="125"/>
      <c r="S104" s="125"/>
      <c r="T104" s="2025" t="s">
        <v>205</v>
      </c>
      <c r="U104" s="2038"/>
      <c r="V104" s="2038"/>
      <c r="W104" s="2038"/>
      <c r="X104" s="2038"/>
      <c r="Y104" s="2038"/>
    </row>
    <row r="105" spans="1:26" s="1" customFormat="1" ht="15" customHeight="1">
      <c r="A105" s="246"/>
      <c r="B105" s="248"/>
      <c r="C105" s="248"/>
      <c r="D105" s="125"/>
      <c r="E105" s="125"/>
      <c r="F105" s="125"/>
      <c r="G105" s="125"/>
      <c r="H105" s="125"/>
      <c r="I105" s="125"/>
      <c r="J105" s="125"/>
      <c r="K105" s="125"/>
      <c r="L105" s="125"/>
      <c r="M105" s="125"/>
      <c r="N105" s="125"/>
      <c r="O105" s="125"/>
      <c r="P105" s="125"/>
      <c r="Q105" s="125"/>
      <c r="R105" s="125"/>
      <c r="S105" s="125"/>
      <c r="T105" s="459"/>
      <c r="U105" s="459"/>
      <c r="V105" s="459"/>
      <c r="W105" s="459"/>
      <c r="X105" s="274"/>
      <c r="Y105" s="274"/>
    </row>
    <row r="106" spans="1:26" s="1" customFormat="1" ht="15" customHeight="1">
      <c r="A106" s="246"/>
      <c r="B106" s="248"/>
      <c r="C106" s="248"/>
      <c r="D106" s="125" t="str">
        <f>Text!C490</f>
        <v>ASTRA Wegleitung</v>
      </c>
      <c r="E106" s="125"/>
      <c r="F106" s="125"/>
      <c r="G106" s="1728" t="str">
        <f>Text!C491</f>
        <v>Anzahl Veloabstellplätze</v>
      </c>
      <c r="H106" s="1728"/>
      <c r="I106" s="1728"/>
      <c r="J106" s="1728"/>
      <c r="K106" s="125"/>
      <c r="L106" s="1728" t="str">
        <f>Text!C492</f>
        <v>Grundlagen mit strategischer Bedeutung</v>
      </c>
      <c r="M106" s="1728"/>
      <c r="N106" s="1728"/>
      <c r="O106" s="1728"/>
      <c r="P106" s="1728"/>
      <c r="Q106" s="1728"/>
      <c r="R106" s="125"/>
      <c r="S106" s="125"/>
      <c r="T106" s="2030" t="s">
        <v>206</v>
      </c>
      <c r="U106" s="2039"/>
      <c r="V106" s="2039"/>
      <c r="W106" s="2039"/>
      <c r="X106" s="2039"/>
      <c r="Y106" s="2039"/>
    </row>
    <row r="107" spans="1:26" s="1" customFormat="1" ht="15" customHeight="1">
      <c r="A107" s="246"/>
      <c r="B107" s="248"/>
      <c r="C107" s="248"/>
      <c r="D107" s="125"/>
      <c r="E107" s="125"/>
      <c r="F107" s="125"/>
      <c r="G107" s="125"/>
      <c r="H107" s="125"/>
      <c r="I107" s="125"/>
      <c r="J107" s="125"/>
      <c r="K107" s="125"/>
      <c r="L107" s="125"/>
      <c r="M107" s="125"/>
      <c r="N107" s="125"/>
      <c r="O107" s="125"/>
      <c r="P107" s="125"/>
      <c r="Q107" s="125"/>
      <c r="R107" s="125"/>
      <c r="S107" s="125"/>
      <c r="T107" s="459"/>
      <c r="U107" s="459"/>
      <c r="V107" s="459"/>
      <c r="W107" s="459"/>
      <c r="X107" s="274"/>
      <c r="Y107" s="274"/>
    </row>
    <row r="108" spans="1:26" s="1" customFormat="1" ht="15" customHeight="1">
      <c r="A108" s="246"/>
      <c r="B108" s="248"/>
      <c r="C108" s="248"/>
      <c r="D108" s="4" t="str">
        <f>Text!C493</f>
        <v>BWA Beobachtung</v>
      </c>
      <c r="E108" s="125"/>
      <c r="F108" s="125"/>
      <c r="G108" s="4" t="str">
        <f>Text!C494</f>
        <v>Wettbewerbe und Ausschreibungen</v>
      </c>
      <c r="H108" s="125"/>
      <c r="I108" s="125"/>
      <c r="J108" s="125"/>
      <c r="K108" s="125"/>
      <c r="L108" s="4" t="str">
        <f>Text!C495</f>
        <v>Organisation, Intention und Ablauf</v>
      </c>
      <c r="M108" s="4"/>
      <c r="N108" s="125"/>
      <c r="O108" s="125"/>
      <c r="P108" s="125"/>
      <c r="Q108" s="125"/>
      <c r="R108" s="125"/>
      <c r="S108" s="125"/>
      <c r="T108" s="458" t="s">
        <v>100</v>
      </c>
      <c r="U108" s="459"/>
      <c r="V108" s="459"/>
      <c r="W108" s="459"/>
      <c r="X108" s="274"/>
      <c r="Y108" s="274"/>
    </row>
    <row r="109" spans="1:26" s="1" customFormat="1" ht="15" customHeight="1">
      <c r="A109" s="246"/>
      <c r="B109" s="248"/>
      <c r="C109" s="248"/>
      <c r="D109" s="125"/>
      <c r="E109" s="125"/>
      <c r="F109" s="125"/>
      <c r="G109" s="125"/>
      <c r="H109" s="125"/>
      <c r="I109" s="125"/>
      <c r="J109" s="125"/>
      <c r="K109" s="125"/>
      <c r="L109" s="125"/>
      <c r="M109" s="125"/>
      <c r="N109" s="125"/>
      <c r="O109" s="125"/>
      <c r="P109" s="125"/>
      <c r="Q109" s="125"/>
      <c r="R109" s="125"/>
      <c r="S109" s="125"/>
      <c r="T109" s="459"/>
      <c r="U109" s="459"/>
      <c r="V109" s="459"/>
      <c r="W109" s="459"/>
      <c r="X109" s="459"/>
      <c r="Y109" s="459"/>
      <c r="Z109" s="250"/>
    </row>
    <row r="110" spans="1:26" s="1" customFormat="1" ht="15" customHeight="1">
      <c r="A110" s="246"/>
      <c r="B110" s="248"/>
      <c r="C110" s="248"/>
      <c r="D110" s="4" t="str">
        <f>Text!C496</f>
        <v>PR-NIS AWEL Zürich</v>
      </c>
      <c r="E110" s="125"/>
      <c r="F110" s="125"/>
      <c r="G110" s="1" t="str">
        <f>Text!C497</f>
        <v>Nichtionisierende Strahlung</v>
      </c>
      <c r="H110" s="125"/>
      <c r="I110" s="125"/>
      <c r="J110" s="125"/>
      <c r="K110" s="125"/>
      <c r="L110" s="4" t="str">
        <f>Text!C498</f>
        <v>Planungsrichtlinie</v>
      </c>
      <c r="M110" s="4"/>
      <c r="N110" s="125"/>
      <c r="O110" s="125"/>
      <c r="P110" s="125"/>
      <c r="Q110" s="125"/>
      <c r="R110" s="125"/>
      <c r="S110" s="125"/>
      <c r="T110" s="2030" t="s">
        <v>55</v>
      </c>
      <c r="U110" s="2030"/>
      <c r="V110" s="2030"/>
      <c r="W110" s="459"/>
      <c r="X110" s="459"/>
      <c r="Y110" s="459"/>
      <c r="Z110" s="250"/>
    </row>
    <row r="111" spans="1:26" s="1" customFormat="1" ht="15" customHeight="1">
      <c r="A111" s="246"/>
      <c r="B111" s="248"/>
      <c r="C111" s="248"/>
      <c r="D111" s="4"/>
      <c r="E111" s="125"/>
      <c r="F111" s="125"/>
      <c r="H111" s="125"/>
      <c r="I111" s="125"/>
      <c r="J111" s="125"/>
      <c r="K111" s="125"/>
      <c r="L111" s="4"/>
      <c r="M111" s="4"/>
      <c r="N111" s="125"/>
      <c r="O111" s="125"/>
      <c r="P111" s="125"/>
      <c r="Q111" s="125"/>
      <c r="R111" s="125"/>
      <c r="S111" s="125"/>
      <c r="T111" s="458"/>
      <c r="U111" s="458"/>
      <c r="V111" s="458"/>
      <c r="W111" s="459"/>
      <c r="X111" s="459"/>
      <c r="Y111" s="459"/>
      <c r="Z111" s="250"/>
    </row>
    <row r="112" spans="1:26" s="1" customFormat="1" ht="15" customHeight="1">
      <c r="A112" s="246"/>
      <c r="B112" s="248"/>
      <c r="C112" s="248"/>
      <c r="D112" s="4" t="str">
        <f>Text!C499</f>
        <v>ArGV3</v>
      </c>
      <c r="E112" s="125"/>
      <c r="F112" s="125"/>
      <c r="G112" s="1" t="str">
        <f>Text!C500</f>
        <v>Arbeitsgesetz und Verordnungen</v>
      </c>
      <c r="H112" s="125"/>
      <c r="I112" s="125"/>
      <c r="J112" s="125"/>
      <c r="K112" s="125"/>
      <c r="L112" s="4" t="str">
        <f>Text!C501</f>
        <v>Wegleitungen</v>
      </c>
      <c r="M112" s="4"/>
      <c r="N112" s="125"/>
      <c r="O112" s="125"/>
      <c r="P112" s="125"/>
      <c r="Q112" s="125"/>
      <c r="R112" s="125"/>
      <c r="S112" s="125"/>
      <c r="T112" s="2023" t="s">
        <v>306</v>
      </c>
      <c r="U112" s="2023"/>
      <c r="V112" s="2023"/>
      <c r="W112" s="2023"/>
      <c r="X112" s="2023"/>
      <c r="Y112" s="2023"/>
      <c r="Z112" s="250"/>
    </row>
    <row r="113" spans="1:26" s="1" customFormat="1" ht="15" customHeight="1">
      <c r="A113" s="246"/>
      <c r="B113" s="248"/>
      <c r="C113" s="248"/>
      <c r="D113" s="4"/>
      <c r="E113" s="125"/>
      <c r="F113" s="125"/>
      <c r="H113" s="125"/>
      <c r="I113" s="125"/>
      <c r="J113" s="125"/>
      <c r="K113" s="125"/>
      <c r="L113" s="4"/>
      <c r="M113" s="4"/>
      <c r="N113" s="125"/>
      <c r="O113" s="125"/>
      <c r="P113" s="125"/>
      <c r="Q113" s="125"/>
      <c r="R113" s="125"/>
      <c r="S113" s="125"/>
      <c r="T113" s="458"/>
      <c r="U113" s="458"/>
      <c r="V113" s="458"/>
      <c r="W113" s="459"/>
      <c r="X113" s="459"/>
      <c r="Y113" s="459"/>
      <c r="Z113" s="250"/>
    </row>
    <row r="114" spans="1:26" s="1" customFormat="1" ht="29.15" customHeight="1">
      <c r="A114" s="246"/>
      <c r="B114" s="248"/>
      <c r="C114" s="248"/>
      <c r="D114" s="4" t="str">
        <f>Text!C502</f>
        <v>DIN-Norm 18041:2016</v>
      </c>
      <c r="E114" s="125"/>
      <c r="F114" s="125"/>
      <c r="G114" s="1728" t="str">
        <f>Text!C503</f>
        <v>Hörsamkeit in Räumen – Anforderungen, Empfehlungen und Hinweise zur Planung</v>
      </c>
      <c r="H114" s="1728"/>
      <c r="I114" s="1728"/>
      <c r="J114" s="1728"/>
      <c r="K114" s="125"/>
      <c r="L114" s="4" t="str">
        <f>Text!C504</f>
        <v>DIN 18041</v>
      </c>
      <c r="M114" s="4"/>
      <c r="N114" s="125"/>
      <c r="O114" s="125"/>
      <c r="P114" s="125"/>
      <c r="Q114" s="125"/>
      <c r="R114" s="125"/>
      <c r="S114" s="125"/>
      <c r="T114" s="2023" t="s">
        <v>305</v>
      </c>
      <c r="U114" s="2023"/>
      <c r="V114" s="2023"/>
      <c r="W114" s="2023"/>
      <c r="X114" s="2023"/>
      <c r="Y114" s="2023"/>
      <c r="Z114" s="250"/>
    </row>
    <row r="115" spans="1:26" s="1" customFormat="1" ht="15" customHeight="1">
      <c r="A115" s="246"/>
      <c r="B115" s="248"/>
      <c r="C115" s="248"/>
      <c r="D115" s="4"/>
      <c r="E115" s="125"/>
      <c r="F115" s="125"/>
      <c r="H115" s="125"/>
      <c r="I115" s="125"/>
      <c r="J115" s="125"/>
      <c r="K115" s="125"/>
      <c r="L115" s="4"/>
      <c r="M115" s="4"/>
      <c r="N115" s="125"/>
      <c r="O115" s="125"/>
      <c r="P115" s="125"/>
      <c r="Q115" s="125"/>
      <c r="R115" s="125"/>
      <c r="S115" s="125"/>
      <c r="T115" s="458"/>
      <c r="U115" s="458"/>
      <c r="V115" s="458"/>
      <c r="W115" s="459"/>
      <c r="X115" s="459"/>
      <c r="Y115" s="459"/>
      <c r="Z115" s="250"/>
    </row>
    <row r="116" spans="1:26" s="1" customFormat="1" ht="15" customHeight="1">
      <c r="A116" s="246"/>
      <c r="B116" s="248"/>
      <c r="C116" s="248"/>
      <c r="D116" s="4" t="str">
        <f>Text!C505</f>
        <v>IFMA-Tool</v>
      </c>
      <c r="E116" s="125"/>
      <c r="F116" s="125"/>
      <c r="G116" s="1" t="str">
        <f>Text!C506</f>
        <v>Lebenszykluskosten-Ermittlung von Immobilien</v>
      </c>
      <c r="H116" s="125"/>
      <c r="I116" s="125"/>
      <c r="J116" s="125"/>
      <c r="K116" s="125"/>
      <c r="L116" s="4" t="str">
        <f>Text!C507</f>
        <v>IFMA-Tool. Teil 1 und 2</v>
      </c>
      <c r="M116" s="4"/>
      <c r="N116" s="125"/>
      <c r="O116" s="125"/>
      <c r="P116" s="125"/>
      <c r="Q116" s="125"/>
      <c r="R116" s="125"/>
      <c r="S116" s="125"/>
      <c r="T116" s="2023" t="s">
        <v>1573</v>
      </c>
      <c r="U116" s="2023"/>
      <c r="V116" s="2023"/>
      <c r="W116" s="2023"/>
      <c r="X116" s="2023"/>
      <c r="Y116" s="2023"/>
      <c r="Z116" s="250"/>
    </row>
    <row r="117" spans="1:26" s="1" customFormat="1" ht="15" customHeight="1">
      <c r="A117" s="246"/>
      <c r="B117" s="248"/>
      <c r="C117" s="248"/>
      <c r="D117" s="4"/>
      <c r="E117" s="125"/>
      <c r="F117" s="125"/>
      <c r="H117" s="125"/>
      <c r="I117" s="125"/>
      <c r="J117" s="125"/>
      <c r="K117" s="125"/>
      <c r="L117" s="4"/>
      <c r="M117" s="4"/>
      <c r="N117" s="125"/>
      <c r="O117" s="125"/>
      <c r="P117" s="125"/>
      <c r="Q117" s="125"/>
      <c r="R117" s="125"/>
      <c r="S117" s="125"/>
      <c r="T117" s="1279"/>
      <c r="U117" s="1279"/>
      <c r="V117" s="1279"/>
      <c r="W117" s="1279"/>
      <c r="X117" s="1279"/>
      <c r="Y117" s="1279"/>
      <c r="Z117" s="250"/>
    </row>
    <row r="118" spans="1:26" s="1" customFormat="1" ht="15" customHeight="1">
      <c r="A118" s="246"/>
      <c r="B118" s="248"/>
      <c r="C118" s="248"/>
      <c r="D118" s="4" t="str">
        <f>Text!C508</f>
        <v>Schutz vor Naturgefahren</v>
      </c>
      <c r="E118" s="125"/>
      <c r="F118" s="125"/>
      <c r="G118" s="1" t="str">
        <f>Text!C509</f>
        <v>SNBS Kriterium 221 Naturgefahren</v>
      </c>
      <c r="H118" s="125"/>
      <c r="I118" s="125"/>
      <c r="J118" s="125"/>
      <c r="K118" s="125"/>
      <c r="L118" s="4" t="str">
        <f>Text!C510</f>
        <v>Online-Bewertungstool</v>
      </c>
      <c r="M118" s="4"/>
      <c r="N118" s="125"/>
      <c r="O118" s="125"/>
      <c r="P118" s="125"/>
      <c r="Q118" s="125"/>
      <c r="R118" s="125"/>
      <c r="S118" s="125"/>
      <c r="T118" s="2023" t="s">
        <v>1578</v>
      </c>
      <c r="U118" s="2023"/>
      <c r="V118" s="2023"/>
      <c r="W118" s="2023"/>
      <c r="X118" s="2023"/>
      <c r="Y118" s="2023"/>
      <c r="Z118" s="250"/>
    </row>
    <row r="119" spans="1:26" s="48" customFormat="1" ht="45" customHeight="1">
      <c r="A119" s="94"/>
      <c r="B119" s="270"/>
      <c r="C119" s="270"/>
      <c r="D119" s="203"/>
      <c r="E119" s="203"/>
      <c r="F119" s="203"/>
      <c r="G119" s="203"/>
      <c r="H119" s="203"/>
      <c r="I119" s="203"/>
      <c r="J119" s="203"/>
      <c r="K119" s="203"/>
      <c r="L119" s="203"/>
      <c r="M119" s="203"/>
      <c r="N119" s="203"/>
      <c r="O119" s="203"/>
      <c r="P119" s="203"/>
      <c r="Q119" s="203"/>
      <c r="R119" s="203"/>
      <c r="S119" s="203"/>
      <c r="T119" s="275"/>
      <c r="U119" s="275"/>
      <c r="V119" s="275"/>
      <c r="W119" s="275"/>
      <c r="X119" s="275"/>
      <c r="Y119" s="275"/>
      <c r="Z119" s="275"/>
    </row>
    <row r="120" spans="1:26" s="1" customFormat="1" ht="15" customHeight="1">
      <c r="A120" s="246"/>
      <c r="B120" s="2036" t="s">
        <v>10</v>
      </c>
      <c r="C120" s="2036"/>
      <c r="D120" s="2037" t="str">
        <f>Text!C526</f>
        <v>Distanzmessungen</v>
      </c>
      <c r="E120" s="2037"/>
      <c r="F120" s="2037"/>
      <c r="G120" s="2037"/>
      <c r="H120" s="2037"/>
      <c r="I120" s="2037"/>
      <c r="J120" s="2037"/>
      <c r="K120" s="169"/>
      <c r="L120" s="73"/>
      <c r="M120" s="73"/>
      <c r="N120" s="73"/>
      <c r="O120" s="73"/>
      <c r="P120" s="73"/>
      <c r="T120" s="129"/>
      <c r="U120" s="129"/>
      <c r="V120" s="129"/>
      <c r="W120" s="129"/>
      <c r="X120" s="129"/>
      <c r="Y120" s="129"/>
      <c r="Z120" s="129"/>
    </row>
    <row r="121" spans="1:26" s="1" customFormat="1" ht="15" customHeight="1">
      <c r="A121" s="246"/>
      <c r="B121" s="222"/>
    </row>
    <row r="122" spans="1:26" s="1" customFormat="1" ht="15" customHeight="1">
      <c r="A122" s="246"/>
      <c r="B122" s="222"/>
      <c r="D122" s="1" t="str">
        <f>Text!C527</f>
        <v>Die Entfernung zwischen dem bewerteten Bauwerk und den verschiedenen Angeboten in der Umgebung sind mit dem Routenplaner von Google Maps messbar (relevant ist jeweils die Gehdistanz):</v>
      </c>
      <c r="U122" s="48"/>
      <c r="V122" s="48"/>
      <c r="W122" s="97" t="str">
        <f>Text!C529</f>
        <v>Zu Google Maps</v>
      </c>
      <c r="X122" s="48"/>
      <c r="Y122" s="48"/>
    </row>
    <row r="123" spans="1:26" s="1" customFormat="1" ht="15" customHeight="1">
      <c r="A123" s="246"/>
      <c r="B123" s="222"/>
    </row>
    <row r="124" spans="1:26" s="1" customFormat="1" ht="15" customHeight="1">
      <c r="A124" s="246"/>
      <c r="B124" s="222"/>
      <c r="D124" s="1" t="str">
        <f>Text!C528</f>
        <v>Beim Kriterium 121 ''Erreichbarkeit &amp; Nutzungsangebot im Quartierumfeld'' wird das umliegende Angebot gemäss folgenden Kriterien bewertet:</v>
      </c>
    </row>
    <row r="125" spans="1:26" s="14" customFormat="1" ht="103.5" customHeight="1">
      <c r="A125" s="258"/>
      <c r="B125" s="259"/>
      <c r="D125" s="1728" t="str">
        <f>Text!C530</f>
        <v>- Mindestens ein Angebot zum Einkaufen für den täglichen Bedarf (Lebensmittelgeschäft) in einer Gehdistanz von max. 500m (ausser bei Schulen Primarschule und Sek I)
- Bei Schulen der Primarstufe und Sek I: Mindestens ein Angebot einer schulischen Tagesstruktur (Hort, Mittagstisch, Tagesschule) in einer Gehdistanz von max. 500m.
- Mindestens ein gastronomisches Angebot (Restaurant, Café, Mensa usw.) soll vorhanden sein. In Agglomeration und Zentren: in einer Gehdistanz von max. 500 m. Auf dem Land: in einer Gehdistanz von max. 750 m.
- Mindestens ein Angebot, das öffentlich zur Erholung genutzt werden kann (Aussen- /Freiräume mit Sitzmöglichkeit, Park, Platz usw.), soll vorhanden sein. In Agglomeration und Zentren: in einer Gehdistanz von max. 500 m. Auf dem Land: in einer Gehdistanz von max. 750 m.
- Mindestens eine soziale Infrastruktur (Kindergarten, Primarschule, Quartierzentrum usw.) soll vorhanden sein. In Agglomeration und Zentren: in einer Gehdistanz von max. 500 m. Auf dem Land: in einer Gehdistanz von max. 750 m.</v>
      </c>
      <c r="E125" s="1728"/>
      <c r="F125" s="1728"/>
      <c r="G125" s="1728"/>
      <c r="H125" s="1728"/>
      <c r="I125" s="1728"/>
      <c r="J125" s="1728"/>
      <c r="K125" s="1728"/>
      <c r="L125" s="1728"/>
      <c r="M125" s="1728"/>
      <c r="N125" s="1728"/>
      <c r="O125" s="1728"/>
      <c r="P125" s="1728"/>
      <c r="Q125" s="1728"/>
      <c r="R125" s="1728"/>
      <c r="S125" s="1728"/>
      <c r="T125" s="1728"/>
      <c r="U125" s="1728"/>
      <c r="V125" s="1728"/>
      <c r="W125" s="1728"/>
      <c r="X125" s="1728"/>
      <c r="Y125" s="1728"/>
      <c r="Z125" s="1309"/>
    </row>
    <row r="126" spans="1:26" s="1" customFormat="1" ht="15" customHeight="1">
      <c r="A126" s="246"/>
      <c r="D126" s="228" t="str">
        <f>Text!C531</f>
        <v>Fehlende Einrichtungen im Umfeld könnten mit Angeboten in der geplanten Liegenschaft kompensiert werden.</v>
      </c>
      <c r="E126" s="260"/>
      <c r="F126" s="260"/>
      <c r="G126" s="260"/>
      <c r="H126" s="260"/>
      <c r="I126" s="260"/>
      <c r="J126" s="260"/>
      <c r="K126" s="260"/>
      <c r="L126" s="260"/>
      <c r="M126" s="260"/>
      <c r="N126" s="260"/>
      <c r="O126" s="260"/>
      <c r="P126" s="260"/>
      <c r="Q126" s="260"/>
      <c r="R126" s="260"/>
      <c r="S126" s="260"/>
      <c r="T126" s="260"/>
      <c r="U126" s="260"/>
      <c r="V126" s="260"/>
    </row>
    <row r="127" spans="1:26" s="48" customFormat="1" ht="45" customHeight="1">
      <c r="A127" s="94"/>
      <c r="B127" s="270"/>
      <c r="C127" s="270"/>
      <c r="D127" s="203"/>
      <c r="E127" s="203"/>
      <c r="F127" s="203"/>
      <c r="G127" s="203"/>
      <c r="H127" s="203"/>
      <c r="I127" s="203"/>
      <c r="J127" s="203"/>
      <c r="K127" s="203"/>
      <c r="L127" s="203"/>
      <c r="M127" s="203"/>
      <c r="N127" s="203"/>
      <c r="O127" s="203"/>
      <c r="P127" s="203"/>
      <c r="Q127" s="203"/>
      <c r="R127" s="203"/>
      <c r="S127" s="203"/>
      <c r="T127" s="275"/>
      <c r="U127" s="275"/>
      <c r="V127" s="275"/>
      <c r="W127" s="275"/>
      <c r="X127" s="275"/>
      <c r="Y127" s="275"/>
      <c r="Z127" s="275"/>
    </row>
    <row r="128" spans="1:26" s="1" customFormat="1" ht="15" customHeight="1">
      <c r="A128" s="246"/>
      <c r="B128" s="2034" t="s">
        <v>11</v>
      </c>
      <c r="C128" s="2034"/>
      <c r="D128" s="249" t="str">
        <f>Text!C532</f>
        <v>Beschaffungen der öffentlichen Hand</v>
      </c>
      <c r="E128" s="125"/>
      <c r="F128" s="125"/>
      <c r="G128" s="125"/>
      <c r="H128" s="125"/>
      <c r="I128" s="125"/>
      <c r="K128" s="261"/>
      <c r="L128" s="262"/>
      <c r="M128" s="262"/>
      <c r="N128" s="262"/>
      <c r="O128" s="262"/>
      <c r="P128" s="125"/>
      <c r="Q128" s="125"/>
      <c r="R128" s="125"/>
      <c r="S128" s="125"/>
      <c r="T128" s="125"/>
      <c r="U128" s="125"/>
      <c r="V128" s="125"/>
      <c r="W128" s="125"/>
    </row>
    <row r="129" spans="1:25" s="1" customFormat="1" ht="15" customHeight="1">
      <c r="A129" s="246"/>
      <c r="B129" s="248"/>
      <c r="C129" s="248"/>
      <c r="D129" s="249"/>
      <c r="E129" s="125"/>
      <c r="F129" s="125"/>
      <c r="G129" s="125"/>
      <c r="H129" s="125"/>
      <c r="I129" s="125"/>
      <c r="J129" s="125"/>
      <c r="K129" s="125"/>
      <c r="L129" s="125"/>
      <c r="M129" s="125"/>
      <c r="N129" s="125"/>
      <c r="O129" s="125"/>
      <c r="P129" s="125"/>
      <c r="Q129" s="125"/>
      <c r="R129" s="125"/>
      <c r="S129" s="125"/>
      <c r="T129" s="125"/>
      <c r="U129" s="125"/>
      <c r="V129" s="125"/>
      <c r="W129" s="125"/>
    </row>
    <row r="130" spans="1:25" s="1" customFormat="1" ht="15" customHeight="1">
      <c r="A130" s="246"/>
      <c r="B130" s="248"/>
      <c r="C130" s="248"/>
      <c r="D130" s="2052" t="str">
        <f>Text!C533</f>
        <v>Überschreitet der geschätzte Gesamtwert (Hoch- und Tiefbau exkl. Land, Honorare und MwSt.) eines Bauwerks 8.7 Mio. CHF, müssen die Aufträge im Staatsvertragsbereich öffentlich ausgeschrieben werden. Dann kann die lokale Beschaffung aus Gleichbehandlungsgründen nur bedingt gesteuert werden: Sofern eine Bauleistung, die unter die sogenannte «Bagatellklausel» fällt (Art. 16 Abs. 4 BöB/IVöB 2019), beschafft werden soll, so kann diese je nach Auftragswert (&lt; 2 Mio. CHF) im Nicht- Staatsvertragsbereich im offenen/selektiven oder im Einladungs- beziehungsweise dem freihändigen Verfahren vergeben werden.</v>
      </c>
      <c r="E130" s="2052"/>
      <c r="F130" s="2052"/>
      <c r="G130" s="2052"/>
      <c r="H130" s="2052"/>
      <c r="I130" s="2052"/>
      <c r="J130" s="2052"/>
      <c r="K130" s="2052"/>
      <c r="L130" s="2052"/>
      <c r="M130" s="2052"/>
      <c r="N130" s="2052"/>
      <c r="O130" s="2052"/>
      <c r="P130" s="2052"/>
      <c r="Q130" s="2052"/>
      <c r="R130" s="2052"/>
      <c r="S130" s="2052"/>
      <c r="T130" s="2052"/>
      <c r="U130" s="2052"/>
      <c r="V130" s="2052"/>
      <c r="W130" s="2052"/>
      <c r="X130" s="2052"/>
      <c r="Y130" s="2052"/>
    </row>
    <row r="131" spans="1:25" s="1" customFormat="1" ht="15" customHeight="1">
      <c r="A131" s="246"/>
      <c r="B131" s="248"/>
      <c r="C131" s="248"/>
      <c r="D131" s="2052"/>
      <c r="E131" s="2052"/>
      <c r="F131" s="2052"/>
      <c r="G131" s="2052"/>
      <c r="H131" s="2052"/>
      <c r="I131" s="2052"/>
      <c r="J131" s="2052"/>
      <c r="K131" s="2052"/>
      <c r="L131" s="2052"/>
      <c r="M131" s="2052"/>
      <c r="N131" s="2052"/>
      <c r="O131" s="2052"/>
      <c r="P131" s="2052"/>
      <c r="Q131" s="2052"/>
      <c r="R131" s="2052"/>
      <c r="S131" s="2052"/>
      <c r="T131" s="2052"/>
      <c r="U131" s="2052"/>
      <c r="V131" s="2052"/>
      <c r="W131" s="2052"/>
      <c r="X131" s="2052"/>
      <c r="Y131" s="2052"/>
    </row>
    <row r="132" spans="1:25" s="1" customFormat="1" ht="30" customHeight="1">
      <c r="A132" s="246"/>
      <c r="B132" s="248"/>
      <c r="C132" s="248"/>
      <c r="D132" s="2052"/>
      <c r="E132" s="2052"/>
      <c r="F132" s="2052"/>
      <c r="G132" s="2052"/>
      <c r="H132" s="2052"/>
      <c r="I132" s="2052"/>
      <c r="J132" s="2052"/>
      <c r="K132" s="2052"/>
      <c r="L132" s="2052"/>
      <c r="M132" s="2052"/>
      <c r="N132" s="2052"/>
      <c r="O132" s="2052"/>
      <c r="P132" s="2052"/>
      <c r="Q132" s="2052"/>
      <c r="R132" s="2052"/>
      <c r="S132" s="2052"/>
      <c r="T132" s="2052"/>
      <c r="U132" s="2052"/>
      <c r="V132" s="2052"/>
      <c r="W132" s="2052"/>
      <c r="X132" s="2052"/>
      <c r="Y132" s="2052"/>
    </row>
    <row r="133" spans="1:25" s="1" customFormat="1" ht="15" customHeight="1">
      <c r="A133" s="246"/>
      <c r="B133" s="248"/>
      <c r="C133" s="248"/>
      <c r="D133" s="164"/>
      <c r="E133" s="164"/>
      <c r="F133" s="164"/>
      <c r="G133" s="164"/>
      <c r="H133" s="164"/>
      <c r="I133" s="164"/>
      <c r="J133" s="164"/>
      <c r="K133" s="164"/>
      <c r="L133" s="164"/>
      <c r="M133" s="164"/>
      <c r="N133" s="164"/>
      <c r="O133" s="164"/>
      <c r="P133" s="164"/>
      <c r="Q133" s="164"/>
      <c r="R133" s="164"/>
      <c r="S133" s="164"/>
      <c r="T133" s="164"/>
      <c r="U133" s="164"/>
      <c r="V133" s="164"/>
      <c r="W133" s="164"/>
      <c r="X133" s="164"/>
      <c r="Y133" s="164"/>
    </row>
    <row r="134" spans="1:25" s="1" customFormat="1" ht="15" customHeight="1">
      <c r="A134" s="246"/>
      <c r="B134" s="248"/>
      <c r="C134" s="248"/>
      <c r="D134" s="2052" t="str">
        <f>Text!C534</f>
        <v>Anwendungsbeispiel: Gesamtwert einer Schulanlage ist 40 Mio. CHF. Hiervon dürfen maximal 20 %, also 8 Mio. CHF, im Nicht-Staatsvertragsbereich vergeben werden. Allerdings müssen die 8 Mio. CHF so aufgeteilt werden, dass kein Einzelauftrag 2.0 Mio. CHF überschreitet. Weitere Anwendungshilfen finden sich im Faktenblatt «Bagatellklausel» der KBOB.</v>
      </c>
      <c r="E134" s="2052"/>
      <c r="F134" s="2052"/>
      <c r="G134" s="2052"/>
      <c r="H134" s="2052"/>
      <c r="I134" s="2052"/>
      <c r="J134" s="2052"/>
      <c r="K134" s="2052"/>
      <c r="L134" s="2052"/>
      <c r="M134" s="2052"/>
      <c r="N134" s="2052"/>
      <c r="O134" s="2052"/>
      <c r="P134" s="2052"/>
      <c r="Q134" s="2052"/>
      <c r="R134" s="2052"/>
      <c r="S134" s="2052"/>
      <c r="T134" s="2052"/>
      <c r="U134" s="2052"/>
      <c r="V134" s="2052"/>
      <c r="W134" s="2052"/>
      <c r="X134" s="2052"/>
      <c r="Y134" s="2052"/>
    </row>
    <row r="135" spans="1:25" s="1" customFormat="1" ht="27.75" customHeight="1">
      <c r="A135" s="246"/>
      <c r="B135" s="248"/>
      <c r="C135" s="248"/>
      <c r="D135" s="2052"/>
      <c r="E135" s="2052"/>
      <c r="F135" s="2052"/>
      <c r="G135" s="2052"/>
      <c r="H135" s="2052"/>
      <c r="I135" s="2052"/>
      <c r="J135" s="2052"/>
      <c r="K135" s="2052"/>
      <c r="L135" s="2052"/>
      <c r="M135" s="2052"/>
      <c r="N135" s="2052"/>
      <c r="O135" s="2052"/>
      <c r="P135" s="2052"/>
      <c r="Q135" s="2052"/>
      <c r="R135" s="2052"/>
      <c r="S135" s="2052"/>
      <c r="T135" s="2052"/>
      <c r="U135" s="2052"/>
      <c r="V135" s="2052"/>
      <c r="W135" s="2052"/>
      <c r="X135" s="2052"/>
      <c r="Y135" s="2052"/>
    </row>
    <row r="136" spans="1:25" s="1" customFormat="1" ht="15" customHeight="1">
      <c r="A136" s="246"/>
      <c r="B136" s="248"/>
      <c r="C136" s="248"/>
      <c r="D136" s="164"/>
      <c r="E136" s="164"/>
      <c r="F136" s="164"/>
      <c r="G136" s="164"/>
      <c r="H136" s="164"/>
      <c r="I136" s="164"/>
      <c r="J136" s="164"/>
      <c r="K136" s="164"/>
      <c r="L136" s="164"/>
      <c r="M136" s="164"/>
      <c r="N136" s="164"/>
      <c r="O136" s="164"/>
      <c r="P136" s="164"/>
      <c r="Q136" s="164"/>
      <c r="R136" s="164"/>
      <c r="S136" s="164"/>
      <c r="T136" s="164"/>
      <c r="U136" s="164"/>
      <c r="V136" s="164"/>
      <c r="W136" s="164"/>
      <c r="X136" s="164"/>
      <c r="Y136" s="164"/>
    </row>
    <row r="137" spans="1:25" s="1" customFormat="1" ht="15" customHeight="1">
      <c r="A137" s="246"/>
      <c r="B137" s="248"/>
      <c r="C137" s="248"/>
      <c r="D137" s="164"/>
      <c r="E137" s="164"/>
      <c r="F137" s="164"/>
      <c r="G137" s="164"/>
      <c r="H137" s="164"/>
      <c r="I137" s="164"/>
      <c r="J137" s="164"/>
      <c r="K137" s="164"/>
      <c r="L137" s="164"/>
      <c r="M137" s="164"/>
      <c r="N137" s="164"/>
      <c r="O137" s="164"/>
      <c r="P137" s="164"/>
      <c r="Q137" s="164"/>
      <c r="R137" s="164"/>
      <c r="S137" s="164"/>
      <c r="T137" s="164"/>
      <c r="U137" s="164"/>
      <c r="V137" s="164"/>
      <c r="W137" s="164"/>
      <c r="X137" s="164"/>
      <c r="Y137" s="460" t="str">
        <f>Text!C535</f>
        <v>SNBS 2023.1 Hochbau Kriterienbeschrieb, Ausgabe vom 13. September 2023, Update vom 9. Februar 2024, S. 186</v>
      </c>
    </row>
    <row r="138" spans="1:25" s="48" customFormat="1" ht="45" customHeight="1">
      <c r="A138" s="94"/>
      <c r="B138" s="276"/>
      <c r="D138" s="277"/>
      <c r="E138" s="277"/>
      <c r="G138" s="274"/>
    </row>
    <row r="139" spans="1:25" s="129" customFormat="1" ht="15" customHeight="1">
      <c r="A139" s="263"/>
      <c r="B139" s="2034" t="s">
        <v>12</v>
      </c>
      <c r="C139" s="2034"/>
      <c r="D139" s="2032" t="str">
        <f>Text!C536</f>
        <v>Nützliche Karte</v>
      </c>
      <c r="E139" s="2033"/>
      <c r="F139" s="2033"/>
      <c r="G139" s="2033"/>
      <c r="H139" s="2033"/>
      <c r="I139" s="2033"/>
      <c r="J139" s="2033"/>
      <c r="K139" s="2033"/>
      <c r="L139" s="2033"/>
      <c r="M139" s="2033"/>
      <c r="N139" s="2033"/>
      <c r="O139" s="2033"/>
      <c r="P139" s="2033"/>
      <c r="Q139" s="2033"/>
    </row>
    <row r="140" spans="1:25" s="129" customFormat="1" ht="15" customHeight="1">
      <c r="A140" s="263"/>
      <c r="B140" s="264"/>
      <c r="C140" s="265"/>
      <c r="D140" s="2032"/>
      <c r="E140" s="2033"/>
      <c r="F140" s="2033"/>
      <c r="G140" s="2033"/>
      <c r="H140" s="2033"/>
      <c r="I140" s="2033"/>
      <c r="J140" s="2033"/>
      <c r="K140" s="2033"/>
      <c r="L140" s="2033"/>
      <c r="M140" s="2033"/>
      <c r="N140" s="2033"/>
      <c r="O140" s="2033"/>
      <c r="P140" s="2033"/>
      <c r="Q140" s="2033"/>
    </row>
    <row r="141" spans="1:25" s="1" customFormat="1" ht="15" customHeight="1">
      <c r="A141" s="246"/>
      <c r="B141" s="266"/>
      <c r="C141" s="267"/>
      <c r="D141" s="2053" t="str">
        <f>Text!C537</f>
        <v>Link zur Karte mit Raumtypen</v>
      </c>
      <c r="E141" s="2053"/>
      <c r="F141" s="2053"/>
      <c r="G141" s="2053"/>
      <c r="H141" s="798"/>
      <c r="I141" s="798"/>
      <c r="J141" s="798"/>
    </row>
    <row r="142" spans="1:25" s="1" customFormat="1" ht="15" customHeight="1">
      <c r="A142" s="246"/>
      <c r="B142" s="266"/>
      <c r="C142" s="267"/>
      <c r="D142" s="2053" t="str">
        <f>Text!C538</f>
        <v>Link zur Karte mit ÖV-Güteklassen</v>
      </c>
      <c r="E142" s="2053"/>
      <c r="F142" s="2053"/>
      <c r="G142" s="2053"/>
      <c r="H142" s="48"/>
      <c r="I142" s="48"/>
      <c r="J142" s="48"/>
    </row>
    <row r="143" spans="1:25" s="1" customFormat="1" ht="15" customHeight="1">
      <c r="A143" s="246"/>
      <c r="D143" s="2049" t="str">
        <f>Text!C540</f>
        <v>Link zur Karte der Naturgefahren</v>
      </c>
      <c r="E143" s="2049"/>
      <c r="F143" s="2049"/>
      <c r="G143" s="2049"/>
      <c r="H143" s="48"/>
      <c r="I143" s="48"/>
      <c r="J143" s="48"/>
    </row>
    <row r="144" spans="1:25" s="48" customFormat="1" ht="45" customHeight="1">
      <c r="A144" s="94"/>
      <c r="D144" s="798"/>
      <c r="E144" s="798"/>
      <c r="F144" s="798"/>
      <c r="G144" s="798"/>
    </row>
    <row r="145" spans="1:25" s="129" customFormat="1" ht="15" customHeight="1">
      <c r="A145" s="263"/>
      <c r="B145" s="2034" t="s">
        <v>13</v>
      </c>
      <c r="C145" s="2034"/>
      <c r="D145" s="2032" t="str">
        <f>Text!C543</f>
        <v>Klimadaten</v>
      </c>
      <c r="E145" s="2033"/>
      <c r="F145" s="2033"/>
      <c r="G145" s="2033"/>
      <c r="H145" s="2033"/>
      <c r="I145" s="2033"/>
      <c r="J145" s="2033"/>
      <c r="K145" s="2033"/>
      <c r="L145" s="2033"/>
      <c r="M145" s="2033"/>
      <c r="N145" s="2033"/>
      <c r="O145" s="2033"/>
      <c r="P145" s="2033"/>
      <c r="Q145" s="2033"/>
    </row>
    <row r="146" spans="1:25" s="129" customFormat="1" ht="15" customHeight="1">
      <c r="A146" s="263"/>
      <c r="B146" s="264"/>
      <c r="C146" s="265"/>
      <c r="D146" s="2032"/>
      <c r="E146" s="2033"/>
      <c r="F146" s="2033"/>
      <c r="G146" s="2033"/>
      <c r="H146" s="2033"/>
      <c r="I146" s="2033"/>
      <c r="J146" s="2033"/>
      <c r="K146" s="2033"/>
      <c r="L146" s="2033"/>
      <c r="M146" s="2033"/>
      <c r="N146" s="2033"/>
      <c r="O146" s="2033"/>
      <c r="P146" s="2033"/>
      <c r="Q146" s="2033"/>
    </row>
    <row r="147" spans="1:25" s="1" customFormat="1" ht="15" customHeight="1">
      <c r="A147" s="246"/>
      <c r="D147" s="1734" t="str">
        <f>Text!C545</f>
        <v>Die Daten sind auf dem Geoportal des Bundes verfügbar:</v>
      </c>
      <c r="E147" s="1734"/>
      <c r="F147" s="1734"/>
      <c r="G147" s="1734"/>
      <c r="H147" s="1734"/>
      <c r="I147" s="1734"/>
      <c r="J147" s="1734"/>
      <c r="K147" s="1734"/>
      <c r="L147" s="1734"/>
      <c r="M147" s="1734"/>
      <c r="N147" s="1734"/>
      <c r="O147" s="1734"/>
      <c r="P147" s="1734"/>
      <c r="Q147" s="1734"/>
      <c r="R147" s="1734"/>
      <c r="S147" s="1734"/>
      <c r="T147" s="1734"/>
      <c r="U147" s="1734"/>
      <c r="V147" s="1734"/>
      <c r="W147" s="1734"/>
      <c r="X147" s="1734"/>
      <c r="Y147" s="1734"/>
    </row>
    <row r="148" spans="1:25" s="1" customFormat="1" ht="15" customHeight="1">
      <c r="A148" s="246"/>
      <c r="D148" s="1311" t="str">
        <f>Text!C546</f>
        <v>Meteoschweiz</v>
      </c>
      <c r="E148" s="124"/>
      <c r="F148" s="124"/>
      <c r="G148" s="124"/>
      <c r="H148" s="124"/>
      <c r="I148" s="124"/>
      <c r="J148" s="124"/>
      <c r="K148" s="124"/>
      <c r="L148" s="124"/>
      <c r="M148" s="124"/>
      <c r="N148" s="124"/>
      <c r="O148" s="124"/>
      <c r="P148" s="124"/>
      <c r="Q148" s="124"/>
      <c r="R148" s="124"/>
      <c r="S148" s="124"/>
      <c r="T148" s="124"/>
      <c r="U148" s="124"/>
      <c r="V148" s="124"/>
      <c r="W148" s="124"/>
      <c r="X148" s="124"/>
      <c r="Y148" s="124"/>
    </row>
    <row r="149" spans="1:25" s="1" customFormat="1" ht="15" customHeight="1">
      <c r="A149" s="246"/>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row>
    <row r="150" spans="1:25" s="1" customFormat="1" ht="15" customHeight="1">
      <c r="A150" s="246"/>
      <c r="D150" s="1734" t="str">
        <f>Text!C547</f>
        <v>Weitere Informationen zu NCCS:</v>
      </c>
      <c r="E150" s="1734"/>
      <c r="F150" s="1734"/>
      <c r="G150" s="1734"/>
      <c r="H150" s="1734"/>
      <c r="I150" s="1734"/>
      <c r="J150" s="1734"/>
      <c r="K150" s="1734"/>
      <c r="L150" s="1734"/>
      <c r="M150" s="1734"/>
      <c r="N150" s="1734"/>
      <c r="O150" s="1734"/>
      <c r="P150" s="1734"/>
      <c r="Q150" s="1734"/>
      <c r="R150" s="1734"/>
      <c r="S150" s="1734"/>
      <c r="T150" s="1734"/>
      <c r="U150" s="1734"/>
      <c r="V150" s="1734"/>
      <c r="W150" s="1734"/>
      <c r="X150" s="1734"/>
      <c r="Y150" s="1734"/>
    </row>
    <row r="151" spans="1:25" s="1" customFormat="1" ht="15" customHeight="1">
      <c r="A151" s="246"/>
      <c r="D151" s="1311" t="str">
        <f>Text!C548</f>
        <v>Zur Website des NCCS</v>
      </c>
      <c r="E151" s="124"/>
      <c r="F151" s="124"/>
      <c r="G151" s="124"/>
      <c r="H151" s="124"/>
      <c r="I151" s="124"/>
      <c r="J151" s="124"/>
      <c r="K151" s="124"/>
      <c r="L151" s="124"/>
      <c r="M151" s="124"/>
      <c r="N151" s="124"/>
      <c r="O151" s="124"/>
      <c r="P151" s="124"/>
      <c r="Q151" s="124"/>
      <c r="R151" s="124"/>
      <c r="S151" s="124"/>
      <c r="T151" s="124"/>
      <c r="U151" s="124"/>
      <c r="V151" s="124"/>
      <c r="W151" s="124"/>
      <c r="X151" s="124"/>
      <c r="Y151" s="124"/>
    </row>
    <row r="152" spans="1:25" s="1" customFormat="1" ht="15" customHeight="1">
      <c r="A152" s="246"/>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row>
    <row r="153" spans="1:25" s="1" customFormat="1" ht="15" customHeight="1">
      <c r="A153" s="246"/>
      <c r="D153" s="1734" t="str">
        <f>Text!C549</f>
        <v>Anwendungsmpfehlung der SIA für die Nutzung der Klimadatensätzen für die Zukunft</v>
      </c>
      <c r="E153" s="1734"/>
      <c r="F153" s="1734"/>
      <c r="G153" s="1734"/>
      <c r="H153" s="1734"/>
      <c r="I153" s="1734"/>
      <c r="J153" s="1734"/>
      <c r="K153" s="1734"/>
      <c r="L153" s="1734"/>
      <c r="M153" s="1734"/>
      <c r="N153" s="1734"/>
      <c r="O153" s="1734"/>
      <c r="P153" s="1734"/>
      <c r="Q153" s="1734"/>
      <c r="R153" s="1734"/>
      <c r="S153" s="1734"/>
      <c r="T153" s="1734"/>
      <c r="U153" s="1734"/>
      <c r="V153" s="1734"/>
      <c r="W153" s="1734"/>
      <c r="X153" s="1734"/>
      <c r="Y153" s="1734"/>
    </row>
    <row r="154" spans="1:25" s="1" customFormat="1" ht="15" customHeight="1">
      <c r="A154" s="246"/>
      <c r="D154" s="1310" t="str">
        <f>Text!C550</f>
        <v>Zur Anwendungsempfehlung</v>
      </c>
      <c r="E154" s="124"/>
      <c r="F154" s="124"/>
      <c r="G154" s="124"/>
      <c r="H154" s="124"/>
      <c r="I154" s="124"/>
      <c r="J154" s="124"/>
      <c r="K154" s="124"/>
      <c r="L154" s="124"/>
      <c r="M154" s="124"/>
      <c r="N154" s="124"/>
      <c r="O154" s="124"/>
      <c r="P154" s="124"/>
      <c r="Q154" s="124"/>
      <c r="R154" s="124"/>
      <c r="S154" s="124"/>
      <c r="T154" s="124"/>
      <c r="U154" s="124"/>
      <c r="V154" s="124"/>
      <c r="W154" s="124"/>
      <c r="X154" s="124"/>
      <c r="Y154" s="124"/>
    </row>
    <row r="155" spans="1:25" s="1" customFormat="1" ht="45" customHeight="1">
      <c r="A155" s="246"/>
      <c r="D155" s="786"/>
      <c r="E155" s="124"/>
      <c r="F155" s="124"/>
      <c r="G155" s="124"/>
      <c r="H155" s="124"/>
      <c r="I155" s="124"/>
      <c r="J155" s="124"/>
      <c r="K155" s="124"/>
      <c r="L155" s="124"/>
      <c r="M155" s="124"/>
      <c r="N155" s="124"/>
      <c r="O155" s="124"/>
      <c r="P155" s="124"/>
      <c r="Q155" s="124"/>
      <c r="R155" s="124"/>
      <c r="S155" s="124"/>
      <c r="T155" s="124"/>
      <c r="U155" s="124"/>
      <c r="V155" s="124"/>
      <c r="W155" s="124"/>
      <c r="X155" s="124"/>
      <c r="Y155" s="124"/>
    </row>
    <row r="156" spans="1:25" s="1" customFormat="1" ht="15" customHeight="1">
      <c r="A156" s="246"/>
      <c r="B156" s="2034" t="s">
        <v>124</v>
      </c>
      <c r="C156" s="2034"/>
      <c r="D156" s="2032" t="str">
        <f>Text!C670</f>
        <v xml:space="preserve">Ansätze zur Optimierung der Graue Energie und THGE </v>
      </c>
      <c r="E156" s="2033"/>
      <c r="F156" s="2033"/>
      <c r="G156" s="2033"/>
      <c r="H156" s="2033"/>
      <c r="I156" s="2033"/>
      <c r="J156" s="2033"/>
      <c r="K156" s="2033"/>
      <c r="L156" s="2033"/>
      <c r="M156" s="2033"/>
      <c r="N156" s="2033"/>
      <c r="O156" s="2033"/>
      <c r="P156" s="2033"/>
      <c r="Q156" s="2033"/>
      <c r="R156" s="124"/>
      <c r="S156" s="124"/>
      <c r="T156" s="124"/>
      <c r="U156" s="124"/>
      <c r="V156" s="124"/>
      <c r="W156" s="124"/>
      <c r="X156" s="124"/>
      <c r="Y156" s="124"/>
    </row>
    <row r="157" spans="1:25" s="1" customFormat="1" ht="15" customHeight="1">
      <c r="A157" s="246"/>
      <c r="B157" s="248"/>
      <c r="C157" s="248"/>
      <c r="D157" s="1606"/>
      <c r="E157" s="1607"/>
      <c r="F157" s="1607"/>
      <c r="G157" s="1607"/>
      <c r="H157" s="1607"/>
      <c r="I157" s="1607"/>
      <c r="J157" s="1607"/>
      <c r="K157" s="1607"/>
      <c r="L157" s="1607"/>
      <c r="M157" s="1607"/>
      <c r="N157" s="1607"/>
      <c r="O157" s="1607"/>
      <c r="P157" s="1607"/>
      <c r="Q157" s="1607"/>
      <c r="R157" s="124"/>
      <c r="S157" s="124"/>
      <c r="T157" s="124"/>
      <c r="U157" s="124"/>
      <c r="V157" s="124"/>
      <c r="W157" s="124"/>
      <c r="X157" s="124"/>
      <c r="Y157" s="124"/>
    </row>
    <row r="158" spans="1:25" s="1" customFormat="1" ht="152.15" customHeight="1">
      <c r="A158" s="246"/>
      <c r="D158" s="1734" t="str">
        <f>Text!C671</f>
        <v>- Innerhalb des Massivbaus: Systemtrennung und Decken bis max. 22 cm
- CO2-optimierter Zemente in Betonen (CEM II oder CEM III, Unternehmerangebote wie JURA ECO oder Zirkulit)
- Sägerohes Holz statt verleimte Träger und Platten
- Fassadenaufbau in Leichtbauweise 
- Hinterlüftete Fassaden ohne Metallverkleidungen
- Holz- statt Holz-Metallfenster
- Reduzierter Fensteranteil
- Bodenbeläge ohne Fertigbelag, Bsp. Anhydrid geschliffen
- Lehmbauelemente (Lehm-Leichtbauplatten, Lehmbausteine)
- Einfache Gebäudetechnik</v>
      </c>
      <c r="E158" s="1734"/>
      <c r="F158" s="1734"/>
      <c r="G158" s="1734"/>
      <c r="H158" s="1734"/>
      <c r="I158" s="1734"/>
      <c r="J158" s="1734"/>
      <c r="K158" s="1734"/>
      <c r="L158" s="1734"/>
      <c r="M158" s="1734"/>
      <c r="N158" s="1734"/>
      <c r="O158" s="1734"/>
      <c r="P158" s="1734"/>
      <c r="Q158" s="1734"/>
      <c r="R158" s="1734"/>
      <c r="S158" s="1734"/>
      <c r="T158" s="1734"/>
      <c r="U158" s="1734"/>
      <c r="V158" s="1734"/>
      <c r="W158" s="1734"/>
      <c r="X158" s="1734"/>
      <c r="Y158" s="1734"/>
    </row>
    <row r="159" spans="1:25" s="1" customFormat="1" ht="15" customHeight="1">
      <c r="A159" s="246"/>
      <c r="D159" s="798"/>
      <c r="E159" s="124"/>
      <c r="F159" s="124"/>
      <c r="G159" s="124"/>
      <c r="H159" s="124"/>
      <c r="I159" s="124"/>
      <c r="J159" s="124"/>
      <c r="K159" s="124"/>
      <c r="L159" s="124"/>
      <c r="M159" s="124"/>
      <c r="N159" s="124"/>
      <c r="O159" s="124"/>
      <c r="P159" s="124"/>
      <c r="Q159" s="124"/>
      <c r="R159" s="124"/>
      <c r="S159" s="124"/>
      <c r="T159" s="124"/>
      <c r="U159" s="124"/>
      <c r="V159" s="124"/>
      <c r="W159" s="124"/>
      <c r="X159" s="124"/>
      <c r="Y159" s="124"/>
    </row>
    <row r="160" spans="1:25" s="1" customFormat="1" ht="15" customHeight="1">
      <c r="A160" s="246"/>
      <c r="B160" s="2034"/>
      <c r="C160" s="2034"/>
      <c r="D160" s="2032"/>
      <c r="E160" s="2033"/>
      <c r="F160" s="2033"/>
      <c r="G160" s="2033"/>
      <c r="H160" s="2033"/>
      <c r="I160" s="2033"/>
      <c r="J160" s="2033"/>
      <c r="K160" s="2033"/>
      <c r="L160" s="2033"/>
      <c r="M160" s="2033"/>
      <c r="N160" s="2033"/>
      <c r="O160" s="2033"/>
      <c r="P160" s="2033"/>
      <c r="Q160" s="2033"/>
      <c r="R160" s="124"/>
      <c r="S160" s="124"/>
      <c r="T160" s="124"/>
      <c r="U160" s="124"/>
      <c r="V160" s="124"/>
      <c r="W160" s="124"/>
      <c r="X160" s="124"/>
      <c r="Y160" s="124"/>
    </row>
    <row r="161" spans="1:25" s="1" customFormat="1" ht="15" customHeight="1">
      <c r="A161" s="246"/>
      <c r="D161" s="786"/>
      <c r="E161" s="124"/>
      <c r="F161" s="124"/>
      <c r="G161" s="124"/>
      <c r="H161" s="124"/>
      <c r="I161" s="124"/>
      <c r="J161" s="124"/>
      <c r="K161" s="124"/>
      <c r="L161" s="124"/>
      <c r="M161" s="124"/>
      <c r="N161" s="124"/>
      <c r="O161" s="124"/>
      <c r="P161" s="124"/>
      <c r="Q161" s="124"/>
      <c r="R161" s="124"/>
      <c r="S161" s="124"/>
      <c r="T161" s="124"/>
      <c r="U161" s="124"/>
      <c r="V161" s="124"/>
      <c r="W161" s="124"/>
      <c r="X161" s="124"/>
      <c r="Y161" s="124"/>
    </row>
    <row r="162" spans="1:25" s="1" customFormat="1" ht="15" customHeight="1">
      <c r="A162" s="246"/>
      <c r="D162" s="1728"/>
      <c r="E162" s="1728"/>
      <c r="F162" s="1728"/>
      <c r="G162" s="1728"/>
      <c r="H162" s="1728"/>
      <c r="I162" s="1728"/>
      <c r="J162" s="1728"/>
      <c r="K162" s="1728"/>
      <c r="L162" s="1728"/>
      <c r="M162" s="1728"/>
      <c r="N162" s="1728"/>
      <c r="O162" s="1728"/>
      <c r="P162" s="1728"/>
      <c r="Q162" s="1728"/>
      <c r="R162" s="1728"/>
      <c r="S162" s="1728"/>
      <c r="T162" s="1728"/>
      <c r="U162" s="1728"/>
      <c r="V162" s="1728"/>
      <c r="W162" s="1728"/>
      <c r="X162" s="1728"/>
      <c r="Y162" s="1728"/>
    </row>
    <row r="163" spans="1:25" s="1" customFormat="1" ht="15" customHeight="1">
      <c r="A163" s="246"/>
      <c r="D163" s="1728"/>
      <c r="E163" s="1728"/>
      <c r="F163" s="1728"/>
      <c r="G163" s="1728"/>
      <c r="H163" s="1728"/>
      <c r="I163" s="1728"/>
      <c r="J163" s="1728"/>
      <c r="K163" s="1728"/>
      <c r="L163" s="1728"/>
      <c r="M163" s="1728"/>
      <c r="N163" s="1728"/>
      <c r="O163" s="1728"/>
      <c r="P163" s="1728"/>
      <c r="Q163" s="1728"/>
      <c r="R163" s="1728"/>
      <c r="S163" s="1728"/>
      <c r="T163" s="1728"/>
      <c r="U163" s="1728"/>
      <c r="V163" s="1728"/>
      <c r="W163" s="1728"/>
      <c r="X163" s="1728"/>
      <c r="Y163" s="1728"/>
    </row>
    <row r="164" spans="1:25" s="1" customFormat="1" ht="15" customHeight="1">
      <c r="A164" s="246"/>
      <c r="D164" s="1728"/>
      <c r="E164" s="1728"/>
      <c r="F164" s="1728"/>
      <c r="G164" s="1728"/>
      <c r="H164" s="1728"/>
      <c r="I164" s="1728"/>
      <c r="J164" s="1728"/>
      <c r="K164" s="1728"/>
      <c r="L164" s="1728"/>
      <c r="M164" s="1728"/>
      <c r="N164" s="1728"/>
      <c r="O164" s="1728"/>
      <c r="P164" s="1728"/>
      <c r="Q164" s="1728"/>
      <c r="R164" s="1728"/>
      <c r="S164" s="1728"/>
      <c r="T164" s="1728"/>
      <c r="U164" s="1728"/>
      <c r="V164" s="1728"/>
      <c r="W164" s="1728"/>
      <c r="X164" s="1728"/>
      <c r="Y164" s="1728"/>
    </row>
    <row r="165" spans="1:25" s="1" customFormat="1" ht="15" customHeight="1">
      <c r="A165" s="246"/>
      <c r="D165" s="1728"/>
      <c r="E165" s="1728"/>
      <c r="F165" s="1728"/>
      <c r="G165" s="1728"/>
      <c r="H165" s="1728"/>
      <c r="I165" s="1728"/>
      <c r="J165" s="1728"/>
      <c r="K165" s="1728"/>
      <c r="L165" s="1728"/>
      <c r="M165" s="1728"/>
      <c r="N165" s="1728"/>
      <c r="O165" s="1728"/>
      <c r="P165" s="1728"/>
      <c r="Q165" s="1728"/>
      <c r="R165" s="1728"/>
      <c r="S165" s="1728"/>
      <c r="T165" s="1728"/>
      <c r="U165" s="1728"/>
      <c r="V165" s="1728"/>
      <c r="W165" s="1728"/>
      <c r="X165" s="1728"/>
      <c r="Y165" s="1728"/>
    </row>
    <row r="166" spans="1:25" s="1" customFormat="1" ht="15" customHeight="1">
      <c r="A166" s="246"/>
      <c r="D166" s="1728"/>
      <c r="E166" s="1728"/>
      <c r="F166" s="1728"/>
      <c r="G166" s="1728"/>
      <c r="H166" s="1728"/>
      <c r="I166" s="1728"/>
      <c r="J166" s="1728"/>
      <c r="K166" s="1728"/>
      <c r="L166" s="1728"/>
      <c r="M166" s="1728"/>
      <c r="N166" s="1728"/>
      <c r="O166" s="1728"/>
      <c r="P166" s="1728"/>
      <c r="Q166" s="1728"/>
      <c r="R166" s="1728"/>
      <c r="S166" s="1728"/>
      <c r="T166" s="1728"/>
      <c r="U166" s="1728"/>
      <c r="V166" s="1728"/>
      <c r="W166" s="1728"/>
      <c r="X166" s="1728"/>
      <c r="Y166" s="1728"/>
    </row>
    <row r="167" spans="1:25" s="1" customFormat="1" ht="15" customHeight="1">
      <c r="A167" s="246"/>
      <c r="D167" s="1728"/>
      <c r="E167" s="1728"/>
      <c r="F167" s="1728"/>
      <c r="G167" s="1728"/>
      <c r="H167" s="1728"/>
      <c r="I167" s="1728"/>
      <c r="J167" s="1728"/>
      <c r="K167" s="1728"/>
      <c r="L167" s="1728"/>
      <c r="M167" s="1728"/>
      <c r="N167" s="1728"/>
      <c r="O167" s="1728"/>
      <c r="P167" s="1728"/>
      <c r="Q167" s="1728"/>
      <c r="R167" s="1728"/>
      <c r="S167" s="1728"/>
      <c r="T167" s="1728"/>
      <c r="U167" s="1728"/>
      <c r="V167" s="1728"/>
      <c r="W167" s="1728"/>
      <c r="X167" s="1728"/>
      <c r="Y167" s="1728"/>
    </row>
    <row r="168" spans="1:25" s="1" customFormat="1" ht="15" customHeight="1">
      <c r="A168" s="246"/>
      <c r="D168" s="1728"/>
      <c r="E168" s="1728"/>
      <c r="F168" s="1728"/>
      <c r="G168" s="1728"/>
      <c r="H168" s="1728"/>
      <c r="I168" s="1728"/>
      <c r="J168" s="1728"/>
      <c r="K168" s="1728"/>
      <c r="L168" s="1728"/>
      <c r="M168" s="1728"/>
      <c r="N168" s="1728"/>
      <c r="O168" s="1728"/>
      <c r="P168" s="1728"/>
      <c r="Q168" s="1728"/>
      <c r="R168" s="1728"/>
      <c r="S168" s="1728"/>
      <c r="T168" s="1728"/>
      <c r="U168" s="1728"/>
      <c r="V168" s="1728"/>
      <c r="W168" s="1728"/>
      <c r="X168" s="1728"/>
      <c r="Y168" s="1728"/>
    </row>
    <row r="169" spans="1:25" s="1" customFormat="1" ht="15" customHeight="1">
      <c r="A169" s="246"/>
      <c r="D169" s="125"/>
      <c r="E169" s="125"/>
      <c r="F169" s="125"/>
      <c r="G169" s="125"/>
      <c r="H169" s="125"/>
      <c r="I169" s="125"/>
      <c r="J169" s="125"/>
      <c r="K169" s="125"/>
      <c r="L169" s="125"/>
      <c r="M169" s="125"/>
      <c r="N169" s="125"/>
      <c r="O169" s="125"/>
      <c r="P169" s="125"/>
      <c r="Q169" s="125"/>
      <c r="R169" s="125"/>
      <c r="S169" s="125"/>
      <c r="T169" s="125"/>
      <c r="U169" s="125"/>
      <c r="V169" s="125"/>
      <c r="W169" s="125"/>
      <c r="X169" s="125"/>
      <c r="Y169" s="125"/>
    </row>
    <row r="170" spans="1:25" s="1" customFormat="1" ht="15" customHeight="1">
      <c r="A170" s="246"/>
      <c r="D170" s="125"/>
      <c r="E170" s="125"/>
      <c r="F170" s="125"/>
      <c r="G170" s="125"/>
      <c r="H170" s="125"/>
      <c r="I170" s="125"/>
      <c r="J170" s="125"/>
      <c r="K170" s="125"/>
      <c r="L170" s="125"/>
      <c r="M170" s="125"/>
      <c r="N170" s="125"/>
      <c r="O170" s="125"/>
      <c r="P170" s="125"/>
      <c r="Q170" s="125"/>
      <c r="R170" s="125"/>
      <c r="S170" s="125"/>
      <c r="T170" s="125"/>
      <c r="U170" s="125"/>
      <c r="V170" s="125"/>
      <c r="W170" s="125"/>
      <c r="X170" s="125"/>
      <c r="Y170" s="125"/>
    </row>
    <row r="171" spans="1:25" s="1" customFormat="1" ht="15" customHeight="1">
      <c r="A171" s="246"/>
      <c r="D171" s="125"/>
      <c r="E171" s="125"/>
      <c r="F171" s="125"/>
      <c r="G171" s="125"/>
      <c r="H171" s="125"/>
      <c r="I171" s="125"/>
      <c r="J171" s="125"/>
      <c r="K171" s="125"/>
      <c r="L171" s="125"/>
      <c r="M171" s="125"/>
      <c r="N171" s="125"/>
      <c r="O171" s="125"/>
      <c r="P171" s="125"/>
      <c r="Q171" s="125"/>
      <c r="R171" s="125"/>
      <c r="S171" s="125"/>
      <c r="T171" s="125"/>
      <c r="U171" s="125"/>
      <c r="V171" s="125"/>
      <c r="W171" s="125"/>
      <c r="X171" s="125"/>
      <c r="Y171" s="125"/>
    </row>
    <row r="172" spans="1:25" s="1" customFormat="1" ht="15" customHeight="1">
      <c r="A172" s="246"/>
      <c r="D172" s="125"/>
      <c r="E172" s="125"/>
      <c r="F172" s="125"/>
      <c r="G172" s="125"/>
      <c r="H172" s="125"/>
      <c r="I172" s="125"/>
      <c r="J172" s="125"/>
      <c r="K172" s="125"/>
      <c r="L172" s="125"/>
      <c r="M172" s="125"/>
      <c r="N172" s="125"/>
      <c r="O172" s="125"/>
      <c r="P172" s="125"/>
      <c r="Q172" s="125"/>
      <c r="R172" s="125"/>
      <c r="S172" s="125"/>
      <c r="T172" s="125"/>
      <c r="U172" s="125"/>
      <c r="V172" s="125"/>
      <c r="W172" s="125"/>
      <c r="X172" s="125"/>
      <c r="Y172" s="125"/>
    </row>
    <row r="173" spans="1:25" s="48" customFormat="1" ht="45" customHeight="1">
      <c r="A173" s="94"/>
      <c r="B173" s="1"/>
    </row>
    <row r="174" spans="1:25" s="1" customFormat="1" ht="15" hidden="1" customHeight="1">
      <c r="A174" s="246"/>
      <c r="B174" s="48"/>
      <c r="D174" s="268"/>
      <c r="E174" s="268"/>
      <c r="F174" s="268"/>
      <c r="G174" s="268"/>
    </row>
    <row r="175" spans="1:25" s="1" customFormat="1" ht="30" hidden="1" customHeight="1">
      <c r="A175" s="246"/>
      <c r="B175" s="247"/>
    </row>
    <row r="176" spans="1:25" s="1" customFormat="1" hidden="1">
      <c r="B176" s="247"/>
    </row>
    <row r="177" spans="2:8" s="1" customFormat="1" ht="30" hidden="1" customHeight="1">
      <c r="B177" s="222"/>
    </row>
    <row r="178" spans="2:8" s="1" customFormat="1" hidden="1">
      <c r="B178" s="222"/>
      <c r="H178" s="244"/>
    </row>
    <row r="179" spans="2:8" s="1" customFormat="1" hidden="1">
      <c r="B179" s="222"/>
    </row>
    <row r="180" spans="2:8" s="1" customFormat="1" hidden="1">
      <c r="B180" s="222"/>
    </row>
    <row r="181" spans="2:8" s="1" customFormat="1" hidden="1">
      <c r="B181" s="222"/>
    </row>
    <row r="182" spans="2:8" s="1" customFormat="1" hidden="1">
      <c r="B182" s="222"/>
    </row>
    <row r="183" spans="2:8" s="1" customFormat="1" hidden="1">
      <c r="B183" s="222"/>
    </row>
    <row r="184" spans="2:8" s="1" customFormat="1" hidden="1">
      <c r="B184" s="222"/>
    </row>
    <row r="185" spans="2:8" s="1" customFormat="1" hidden="1">
      <c r="B185" s="222"/>
    </row>
    <row r="186" spans="2:8" s="1" customFormat="1" hidden="1">
      <c r="B186" s="222"/>
    </row>
    <row r="187" spans="2:8" s="1" customFormat="1" hidden="1">
      <c r="B187" s="222"/>
    </row>
    <row r="188" spans="2:8" s="1" customFormat="1" hidden="1">
      <c r="B188" s="222"/>
    </row>
    <row r="189" spans="2:8" s="1" customFormat="1" hidden="1">
      <c r="B189" s="222"/>
    </row>
    <row r="190" spans="2:8" s="1" customFormat="1" hidden="1">
      <c r="B190" s="222"/>
    </row>
    <row r="191" spans="2:8" s="1" customFormat="1" hidden="1">
      <c r="B191" s="222"/>
    </row>
    <row r="192" spans="2:8" s="1" customFormat="1" hidden="1">
      <c r="B192" s="222"/>
    </row>
    <row r="193" spans="2:2" s="1" customFormat="1" hidden="1">
      <c r="B193" s="222"/>
    </row>
    <row r="194" spans="2:2" s="1" customFormat="1" hidden="1">
      <c r="B194" s="222"/>
    </row>
    <row r="195" spans="2:2" s="1" customFormat="1" hidden="1">
      <c r="B195" s="222"/>
    </row>
    <row r="196" spans="2:2" s="1" customFormat="1" hidden="1">
      <c r="B196" s="222"/>
    </row>
    <row r="197" spans="2:2" s="1" customFormat="1" hidden="1">
      <c r="B197" s="222"/>
    </row>
    <row r="198" spans="2:2" s="1" customFormat="1" hidden="1">
      <c r="B198" s="222"/>
    </row>
    <row r="199" spans="2:2" s="1" customFormat="1" hidden="1">
      <c r="B199" s="222"/>
    </row>
    <row r="200" spans="2:2" s="1" customFormat="1" hidden="1">
      <c r="B200" s="222"/>
    </row>
    <row r="201" spans="2:2" s="1" customFormat="1" hidden="1">
      <c r="B201" s="222"/>
    </row>
    <row r="202" spans="2:2" s="1" customFormat="1" hidden="1">
      <c r="B202" s="222"/>
    </row>
    <row r="203" spans="2:2" s="1" customFormat="1" hidden="1">
      <c r="B203" s="222"/>
    </row>
    <row r="204" spans="2:2" s="1" customFormat="1" hidden="1">
      <c r="B204" s="222"/>
    </row>
    <row r="205" spans="2:2" s="1" customFormat="1" hidden="1">
      <c r="B205" s="222"/>
    </row>
    <row r="206" spans="2:2" s="1" customFormat="1" hidden="1">
      <c r="B206" s="222"/>
    </row>
    <row r="207" spans="2:2" s="1" customFormat="1" hidden="1">
      <c r="B207" s="222"/>
    </row>
    <row r="208" spans="2:2" s="1" customFormat="1" hidden="1">
      <c r="B208" s="222"/>
    </row>
    <row r="209" spans="2:2" s="1" customFormat="1" hidden="1">
      <c r="B209" s="222"/>
    </row>
    <row r="210" spans="2:2" s="1" customFormat="1" hidden="1">
      <c r="B210" s="222"/>
    </row>
    <row r="211" spans="2:2" s="1" customFormat="1" hidden="1">
      <c r="B211" s="222"/>
    </row>
    <row r="212" spans="2:2" s="1" customFormat="1" hidden="1">
      <c r="B212" s="222"/>
    </row>
    <row r="213" spans="2:2" s="1" customFormat="1" hidden="1">
      <c r="B213" s="222"/>
    </row>
    <row r="214" spans="2:2" s="1" customFormat="1" hidden="1">
      <c r="B214" s="222"/>
    </row>
    <row r="215" spans="2:2" s="1" customFormat="1" hidden="1">
      <c r="B215" s="222"/>
    </row>
    <row r="216" spans="2:2" s="1" customFormat="1" hidden="1">
      <c r="B216" s="222"/>
    </row>
    <row r="217" spans="2:2" s="1" customFormat="1" hidden="1">
      <c r="B217" s="222"/>
    </row>
    <row r="218" spans="2:2" s="1" customFormat="1" hidden="1">
      <c r="B218" s="222"/>
    </row>
    <row r="219" spans="2:2" s="1" customFormat="1" hidden="1">
      <c r="B219" s="222"/>
    </row>
    <row r="220" spans="2:2" s="1" customFormat="1" hidden="1">
      <c r="B220" s="222"/>
    </row>
    <row r="221" spans="2:2" s="1" customFormat="1" hidden="1">
      <c r="B221" s="222"/>
    </row>
    <row r="222" spans="2:2" s="1" customFormat="1" hidden="1">
      <c r="B222" s="222"/>
    </row>
    <row r="223" spans="2:2" s="1" customFormat="1" hidden="1">
      <c r="B223" s="222"/>
    </row>
    <row r="224" spans="2:2" s="1" customFormat="1" hidden="1">
      <c r="B224" s="222"/>
    </row>
    <row r="225" spans="2:2" s="1" customFormat="1" hidden="1">
      <c r="B225" s="222"/>
    </row>
    <row r="226" spans="2:2" s="1" customFormat="1" hidden="1">
      <c r="B226" s="222"/>
    </row>
    <row r="227" spans="2:2" s="1" customFormat="1" hidden="1">
      <c r="B227" s="222"/>
    </row>
    <row r="228" spans="2:2" s="1" customFormat="1" hidden="1">
      <c r="B228" s="222"/>
    </row>
    <row r="229" spans="2:2" s="1" customFormat="1" hidden="1">
      <c r="B229" s="222"/>
    </row>
    <row r="230" spans="2:2" s="1" customFormat="1" hidden="1">
      <c r="B230" s="222"/>
    </row>
    <row r="231" spans="2:2" s="1" customFormat="1" hidden="1">
      <c r="B231" s="222"/>
    </row>
    <row r="232" spans="2:2" s="1" customFormat="1" hidden="1">
      <c r="B232" s="222"/>
    </row>
    <row r="233" spans="2:2" s="1" customFormat="1" hidden="1">
      <c r="B233" s="222"/>
    </row>
    <row r="234" spans="2:2" s="1" customFormat="1" hidden="1">
      <c r="B234" s="222"/>
    </row>
    <row r="235" spans="2:2" s="1" customFormat="1" hidden="1">
      <c r="B235" s="222"/>
    </row>
    <row r="236" spans="2:2" s="1" customFormat="1" hidden="1">
      <c r="B236" s="222"/>
    </row>
    <row r="237" spans="2:2" s="1" customFormat="1" hidden="1">
      <c r="B237" s="222"/>
    </row>
    <row r="238" spans="2:2" s="1" customFormat="1" hidden="1">
      <c r="B238" s="222"/>
    </row>
    <row r="239" spans="2:2" s="1" customFormat="1" hidden="1">
      <c r="B239" s="222"/>
    </row>
    <row r="240" spans="2:2" s="1" customFormat="1" hidden="1">
      <c r="B240" s="222"/>
    </row>
    <row r="241" spans="2:2" s="1" customFormat="1" hidden="1">
      <c r="B241" s="222"/>
    </row>
    <row r="242" spans="2:2" s="1" customFormat="1" hidden="1">
      <c r="B242" s="222"/>
    </row>
    <row r="243" spans="2:2" s="1" customFormat="1" hidden="1">
      <c r="B243" s="222"/>
    </row>
    <row r="244" spans="2:2" s="1" customFormat="1" hidden="1">
      <c r="B244" s="222"/>
    </row>
    <row r="245" spans="2:2" s="1" customFormat="1" hidden="1">
      <c r="B245" s="222"/>
    </row>
    <row r="246" spans="2:2" s="1" customFormat="1" hidden="1">
      <c r="B246" s="222"/>
    </row>
    <row r="247" spans="2:2" s="1" customFormat="1" hidden="1">
      <c r="B247" s="222"/>
    </row>
    <row r="248" spans="2:2" s="1" customFormat="1" hidden="1">
      <c r="B248" s="222"/>
    </row>
    <row r="249" spans="2:2" s="1" customFormat="1" hidden="1">
      <c r="B249" s="222"/>
    </row>
    <row r="250" spans="2:2" s="1" customFormat="1" hidden="1">
      <c r="B250" s="222"/>
    </row>
    <row r="251" spans="2:2" s="1" customFormat="1" hidden="1">
      <c r="B251" s="222"/>
    </row>
    <row r="252" spans="2:2" s="1" customFormat="1" hidden="1">
      <c r="B252" s="222"/>
    </row>
    <row r="253" spans="2:2" s="1" customFormat="1" hidden="1">
      <c r="B253" s="222"/>
    </row>
    <row r="254" spans="2:2" s="1" customFormat="1" hidden="1">
      <c r="B254" s="222"/>
    </row>
    <row r="255" spans="2:2" s="1" customFormat="1" hidden="1">
      <c r="B255" s="222"/>
    </row>
    <row r="256" spans="2:2" s="1" customFormat="1" hidden="1">
      <c r="B256" s="222"/>
    </row>
    <row r="257" spans="2:2" s="1" customFormat="1" hidden="1">
      <c r="B257" s="222"/>
    </row>
    <row r="258" spans="2:2" s="1" customFormat="1" hidden="1">
      <c r="B258" s="222"/>
    </row>
    <row r="259" spans="2:2" s="1" customFormat="1" hidden="1">
      <c r="B259" s="222"/>
    </row>
    <row r="260" spans="2:2" s="1" customFormat="1" hidden="1">
      <c r="B260" s="222"/>
    </row>
    <row r="261" spans="2:2" s="1" customFormat="1" hidden="1">
      <c r="B261" s="222"/>
    </row>
    <row r="262" spans="2:2" s="1" customFormat="1" hidden="1">
      <c r="B262" s="222"/>
    </row>
    <row r="263" spans="2:2" s="1" customFormat="1" hidden="1">
      <c r="B263" s="222"/>
    </row>
    <row r="264" spans="2:2" s="1" customFormat="1" hidden="1">
      <c r="B264" s="222"/>
    </row>
    <row r="265" spans="2:2" s="1" customFormat="1" hidden="1">
      <c r="B265" s="222"/>
    </row>
    <row r="266" spans="2:2" s="1" customFormat="1" hidden="1">
      <c r="B266" s="222"/>
    </row>
    <row r="267" spans="2:2" s="1" customFormat="1" hidden="1">
      <c r="B267" s="222"/>
    </row>
    <row r="268" spans="2:2" s="1" customFormat="1" hidden="1">
      <c r="B268" s="222"/>
    </row>
    <row r="269" spans="2:2" s="1" customFormat="1" hidden="1">
      <c r="B269" s="222"/>
    </row>
    <row r="270" spans="2:2" s="1" customFormat="1" hidden="1">
      <c r="B270" s="222"/>
    </row>
    <row r="271" spans="2:2" s="1" customFormat="1" hidden="1">
      <c r="B271" s="222"/>
    </row>
    <row r="272" spans="2:2" s="1" customFormat="1" hidden="1">
      <c r="B272" s="222"/>
    </row>
    <row r="273" spans="2:2" s="1" customFormat="1" hidden="1">
      <c r="B273" s="222"/>
    </row>
    <row r="274" spans="2:2" s="1" customFormat="1" hidden="1">
      <c r="B274" s="222"/>
    </row>
    <row r="275" spans="2:2" s="1" customFormat="1" hidden="1">
      <c r="B275" s="222"/>
    </row>
    <row r="276" spans="2:2" s="1" customFormat="1" hidden="1">
      <c r="B276" s="222"/>
    </row>
    <row r="277" spans="2:2" s="1" customFormat="1" hidden="1">
      <c r="B277" s="222"/>
    </row>
    <row r="278" spans="2:2" s="1" customFormat="1" hidden="1">
      <c r="B278" s="222"/>
    </row>
    <row r="279" spans="2:2" s="1" customFormat="1" hidden="1">
      <c r="B279" s="222"/>
    </row>
    <row r="280" spans="2:2" s="1" customFormat="1" hidden="1">
      <c r="B280" s="222"/>
    </row>
    <row r="281" spans="2:2" s="1" customFormat="1" hidden="1">
      <c r="B281" s="222"/>
    </row>
    <row r="282" spans="2:2" s="1" customFormat="1" hidden="1">
      <c r="B282" s="222"/>
    </row>
    <row r="283" spans="2:2" s="1" customFormat="1" hidden="1">
      <c r="B283" s="222"/>
    </row>
    <row r="284" spans="2:2" s="1" customFormat="1" hidden="1">
      <c r="B284" s="222"/>
    </row>
    <row r="285" spans="2:2" s="1" customFormat="1" hidden="1">
      <c r="B285" s="222"/>
    </row>
    <row r="286" spans="2:2" s="1" customFormat="1" hidden="1">
      <c r="B286" s="222"/>
    </row>
    <row r="287" spans="2:2" s="1" customFormat="1" hidden="1">
      <c r="B287" s="222"/>
    </row>
    <row r="288" spans="2:2" s="1" customFormat="1" hidden="1">
      <c r="B288" s="222"/>
    </row>
    <row r="289" spans="2:8" hidden="1">
      <c r="B289" s="222"/>
      <c r="H289" s="1"/>
    </row>
    <row r="290" spans="2:8" hidden="1">
      <c r="H290" s="1"/>
    </row>
    <row r="291" spans="2:8"/>
    <row r="292" spans="2:8"/>
    <row r="293" spans="2:8"/>
    <row r="294" spans="2:8"/>
    <row r="295" spans="2:8"/>
    <row r="296" spans="2:8"/>
    <row r="297" spans="2:8"/>
    <row r="298" spans="2:8"/>
    <row r="299" spans="2:8"/>
    <row r="300" spans="2:8"/>
    <row r="301" spans="2:8"/>
    <row r="302" spans="2:8"/>
    <row r="303" spans="2:8"/>
    <row r="304" spans="2:8"/>
    <row r="305"/>
    <row r="306"/>
    <row r="307"/>
    <row r="308"/>
    <row r="309"/>
    <row r="310"/>
    <row r="311"/>
    <row r="312"/>
    <row r="313"/>
    <row r="314"/>
    <row r="315"/>
    <row r="316"/>
    <row r="317"/>
    <row r="318"/>
    <row r="319"/>
    <row r="320"/>
    <row r="321"/>
    <row r="322"/>
    <row r="323"/>
    <row r="324"/>
    <row r="325"/>
    <row r="326"/>
  </sheetData>
  <sheetProtection algorithmName="SHA-512" hashValue="cxDCtFgGAu0MAblTGiUkMArEp9LqHX1g6wpV1Sawvl1XM+7KNQ3UG5hyEbDCu530X8hZwtTzBVAQGQuPT4Ey/A==" saltValue="pSGZa3HvT/k84r6cxjTCLQ==" spinCount="100000" sheet="1" formatColumns="0" formatRows="0" selectLockedCells="1"/>
  <customSheetViews>
    <customSheetView guid="{9A24DFA8-2F1F-40ED-973B-20A00514A0EB}" hiddenRows="1" hiddenColumns="1">
      <selection activeCell="D45" sqref="D45:V45"/>
    </customSheetView>
  </customSheetViews>
  <mergeCells count="85">
    <mergeCell ref="D162:Y168"/>
    <mergeCell ref="B160:C160"/>
    <mergeCell ref="D160:Q160"/>
    <mergeCell ref="D150:Y150"/>
    <mergeCell ref="D153:Y153"/>
    <mergeCell ref="B156:C156"/>
    <mergeCell ref="D156:Q156"/>
    <mergeCell ref="D158:Y158"/>
    <mergeCell ref="B10:C10"/>
    <mergeCell ref="D10:W10"/>
    <mergeCell ref="D147:Y147"/>
    <mergeCell ref="D130:Y132"/>
    <mergeCell ref="D134:Y135"/>
    <mergeCell ref="D140:Q140"/>
    <mergeCell ref="D142:G142"/>
    <mergeCell ref="D141:G141"/>
    <mergeCell ref="D139:Q139"/>
    <mergeCell ref="B128:C128"/>
    <mergeCell ref="D24:W24"/>
    <mergeCell ref="L29:Q29"/>
    <mergeCell ref="L34:Q34"/>
    <mergeCell ref="T34:Y34"/>
    <mergeCell ref="D12:W12"/>
    <mergeCell ref="T96:Y96"/>
    <mergeCell ref="T56:Y56"/>
    <mergeCell ref="E76:S76"/>
    <mergeCell ref="D90:Y90"/>
    <mergeCell ref="T28:Y28"/>
    <mergeCell ref="L32:Q32"/>
    <mergeCell ref="T32:Y32"/>
    <mergeCell ref="T46:Y46"/>
    <mergeCell ref="T48:Y48"/>
    <mergeCell ref="T29:Y29"/>
    <mergeCell ref="T50:Y50"/>
    <mergeCell ref="T52:Y52"/>
    <mergeCell ref="T40:Y40"/>
    <mergeCell ref="T54:Y54"/>
    <mergeCell ref="G5:T5"/>
    <mergeCell ref="G6:T6"/>
    <mergeCell ref="E8:V8"/>
    <mergeCell ref="H2:L2"/>
    <mergeCell ref="B145:C145"/>
    <mergeCell ref="D145:Q145"/>
    <mergeCell ref="O2:S2"/>
    <mergeCell ref="D143:G143"/>
    <mergeCell ref="T42:Y42"/>
    <mergeCell ref="T100:Y100"/>
    <mergeCell ref="G102:J102"/>
    <mergeCell ref="L96:Q96"/>
    <mergeCell ref="T37:Y37"/>
    <mergeCell ref="L28:Q28"/>
    <mergeCell ref="L30:Q30"/>
    <mergeCell ref="T114:Y114"/>
    <mergeCell ref="D146:Q146"/>
    <mergeCell ref="B139:C139"/>
    <mergeCell ref="D60:Y60"/>
    <mergeCell ref="D74:G74"/>
    <mergeCell ref="G62:J62"/>
    <mergeCell ref="B120:C120"/>
    <mergeCell ref="D120:J120"/>
    <mergeCell ref="T101:Y101"/>
    <mergeCell ref="T102:Y102"/>
    <mergeCell ref="T104:Y104"/>
    <mergeCell ref="T106:Y106"/>
    <mergeCell ref="G106:J106"/>
    <mergeCell ref="L106:Q106"/>
    <mergeCell ref="G100:J100"/>
    <mergeCell ref="G98:J98"/>
    <mergeCell ref="T98:Y98"/>
    <mergeCell ref="D125:Y125"/>
    <mergeCell ref="G114:J114"/>
    <mergeCell ref="T116:Y116"/>
    <mergeCell ref="T118:Y118"/>
    <mergeCell ref="G14:J14"/>
    <mergeCell ref="G16:J16"/>
    <mergeCell ref="L26:Q26"/>
    <mergeCell ref="T26:Y26"/>
    <mergeCell ref="L35:Q35"/>
    <mergeCell ref="T35:Y35"/>
    <mergeCell ref="T38:Y38"/>
    <mergeCell ref="T30:Y30"/>
    <mergeCell ref="T44:Y44"/>
    <mergeCell ref="T112:Y112"/>
    <mergeCell ref="T110:V110"/>
    <mergeCell ref="G96:J96"/>
  </mergeCells>
  <phoneticPr fontId="16" type="noConversion"/>
  <hyperlinks>
    <hyperlink ref="W122" r:id="rId1" display="https://www.google.com/maps" xr:uid="{00000000-0004-0000-0400-000004000000}"/>
    <hyperlink ref="T89" r:id="rId2" xr:uid="{00000000-0004-0000-0400-000013000000}"/>
    <hyperlink ref="T114" r:id="rId3" xr:uid="{5F4DDED5-F35F-4304-96C0-11EE97FA6DFE}"/>
    <hyperlink ref="T112" r:id="rId4" xr:uid="{C3F22759-6C37-4211-AF30-6B003A53F24E}"/>
    <hyperlink ref="T34" r:id="rId5" xr:uid="{D22B59F3-4F57-4894-B2B2-C67F27F4AC44}"/>
    <hyperlink ref="T32" r:id="rId6" xr:uid="{C3042F93-653B-42E1-8BC4-4282F0233FD0}"/>
    <hyperlink ref="T48" r:id="rId7" xr:uid="{4BA900C1-ACE0-4A23-ABB8-428C65220612}"/>
    <hyperlink ref="T37" r:id="rId8" xr:uid="{7ECA60BA-37D3-48A1-ABD8-2F8C452F1A74}"/>
    <hyperlink ref="T50" r:id="rId9" xr:uid="{F6182A71-3914-4BE2-8081-929917A4A93A}"/>
    <hyperlink ref="T52" r:id="rId10" xr:uid="{84A09B75-9A73-4F87-BF3A-8218030D891E}"/>
    <hyperlink ref="T44" r:id="rId11" xr:uid="{CE4C7325-1D4C-44AD-82D5-A27B6D7794E3}"/>
    <hyperlink ref="T46" r:id="rId12" xr:uid="{EBF9D2ED-3E2B-4ACD-94DE-1DA98939258B}"/>
    <hyperlink ref="T42" r:id="rId13" xr:uid="{E1C7A6FF-680F-4F27-9522-4AA49E41F440}"/>
    <hyperlink ref="T110" r:id="rId14" display="PR-NIS PDF" xr:uid="{7749E271-E907-4CE4-9320-2B844636D78B}"/>
    <hyperlink ref="T96" r:id="rId15" xr:uid="{50FBC5AE-4733-480B-A761-F75AFC2CC157}"/>
    <hyperlink ref="T98" r:id="rId16" xr:uid="{868ABE02-F56F-458B-9CAD-8310E19F5F9B}"/>
    <hyperlink ref="T100" r:id="rId17" xr:uid="{053A6A84-1D5B-40A0-8878-2093E9BE5CDD}"/>
    <hyperlink ref="T101" r:id="rId18" xr:uid="{FA1C68B0-614D-4E7F-A38E-2CCB093ED0F8}"/>
    <hyperlink ref="T102" r:id="rId19" xr:uid="{A7E871FC-F846-4683-A235-F22BAE1080A8}"/>
    <hyperlink ref="T104" r:id="rId20" xr:uid="{075A0D29-B2A7-4907-A1EA-508419C8C70B}"/>
    <hyperlink ref="T106" r:id="rId21" xr:uid="{2DE0B1FD-1ACB-4C36-9979-CFC5BCA95E7B}"/>
    <hyperlink ref="T108" r:id="rId22" xr:uid="{F1D9C6BE-5BC1-4F19-9E9B-9690F2E52D23}"/>
    <hyperlink ref="D151" r:id="rId23" display="https://www.nccs.admin.ch/nccs/de/home/das-nccs/themenschwerpunkte/weitere-fachliche-aktivitaeten/klimaangepasstes-bauen.html" xr:uid="{F848D5EB-0F08-44F7-9D39-D7C75C634A1B}"/>
    <hyperlink ref="D154" r:id="rId24" display="chrome-extension://efaidnbmnnnibpcajpcglclefindmkaj/https:/cms.sia.ch/sites/default/files/2024-03/Klimaszenarien_DT_23_01__002_.pdf" xr:uid="{02D98BD5-124F-4636-BC83-AA2658CEEADC}"/>
    <hyperlink ref="D143:G143" r:id="rId25" display="Link zur Karte der Naturgafahren" xr:uid="{00000000-0004-0000-0400-000002000000}"/>
    <hyperlink ref="T28" r:id="rId26" xr:uid="{929CA6B3-115E-477F-AAD5-6BA6B0D91CDB}"/>
    <hyperlink ref="T29" r:id="rId27" xr:uid="{238B975A-2648-49BD-9273-0BE356A087D1}"/>
    <hyperlink ref="T30" r:id="rId28" xr:uid="{4847AC1A-4EDE-408E-B567-C6D7686137B2}"/>
    <hyperlink ref="T26" r:id="rId29" xr:uid="{6B09A7F3-57DD-48A4-8275-657E31BD9064}"/>
    <hyperlink ref="T35" r:id="rId30" xr:uid="{2A4D7601-481A-4C1A-BFA1-62696AD44D63}"/>
    <hyperlink ref="T38" r:id="rId31" xr:uid="{F6157AA2-6432-49DC-A82B-CC4C09F0A0BF}"/>
    <hyperlink ref="T40" r:id="rId32" xr:uid="{3DB14948-C4EE-4195-A10B-C8D3FA18C040}"/>
    <hyperlink ref="T54" r:id="rId33" xr:uid="{5D674B57-76FB-497C-82E4-42505ED4684C}"/>
    <hyperlink ref="T56" r:id="rId34" xr:uid="{D8D254E5-2F2B-4749-84F9-727D8F76E21E}"/>
    <hyperlink ref="T116" r:id="rId35" xr:uid="{7C2229F5-BAD9-4F03-9B43-DE55349CE6A6}"/>
    <hyperlink ref="T118" r:id="rId36" xr:uid="{1F241D51-EA47-4E59-B8F3-80E617894B28}"/>
    <hyperlink ref="D141:G141" r:id="rId37" display="http://www.atlas.bfs.admin.ch/maps/13/de/10447_10446_3191_227/17718.html" xr:uid="{A82C876C-1BF9-48B3-9A66-06F321A7239B}"/>
    <hyperlink ref="D142:G142" r:id="rId38" display="https://s.geo.admin.ch/71b4b8ef4c" xr:uid="{42B6A9B4-0FC7-4091-AAF3-110A6C00919D}"/>
    <hyperlink ref="D148" r:id="rId39" display="https://s.geo.admin.ch/94e9d38450" xr:uid="{6DAD3702-DF6F-45F6-89B5-7CC59A227AC6}"/>
  </hyperlinks>
  <pageMargins left="0.70866141732283472" right="0.70866141732283472" top="0.78740157480314965" bottom="0.78740157480314965" header="0.31496062992125984" footer="0.31496062992125984"/>
  <pageSetup paperSize="9" scale="25" orientation="portrait" verticalDpi="1200" r:id="rId40"/>
  <ignoredErrors>
    <ignoredError sqref="C58 C22 C92 B139 B145 B156 B10 B120 B128" numberStoredAsText="1"/>
    <ignoredError sqref="D141:G142 D148:I148 D154:G155 D151 D143:G143 D144:G144 H2 O2" unlocked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99"/>
  <dimension ref="A1:CC762"/>
  <sheetViews>
    <sheetView topLeftCell="A2" zoomScale="70" zoomScaleNormal="70" workbookViewId="0"/>
  </sheetViews>
  <sheetFormatPr baseColWidth="10" defaultColWidth="0" defaultRowHeight="14.5" zeroHeight="1"/>
  <cols>
    <col min="1" max="1" width="6.54296875" customWidth="1"/>
    <col min="2" max="2" width="15.54296875" customWidth="1"/>
    <col min="3" max="3" width="148" customWidth="1"/>
    <col min="4" max="4" width="15.54296875" customWidth="1"/>
    <col min="5" max="5" width="200.54296875" customWidth="1"/>
    <col min="6" max="6" width="15.54296875" customWidth="1"/>
    <col min="7" max="7" width="200.54296875" customWidth="1"/>
    <col min="8" max="8" width="15.54296875" customWidth="1"/>
    <col min="9" max="9" width="200.54296875" customWidth="1"/>
    <col min="10" max="30" width="15.54296875" customWidth="1"/>
    <col min="31" max="54" width="11.453125" customWidth="1"/>
    <col min="55" max="60" width="12.54296875" customWidth="1"/>
    <col min="61" max="62" width="10.81640625" customWidth="1"/>
    <col min="63" max="81" width="12.54296875" hidden="1" customWidth="1"/>
    <col min="82" max="16384" width="10.81640625" hidden="1"/>
  </cols>
  <sheetData>
    <row r="1" spans="1:60" ht="14.5" hidden="1" customHeight="1">
      <c r="A1" s="138"/>
      <c r="B1" s="731"/>
      <c r="C1" s="732"/>
      <c r="D1" s="731"/>
      <c r="E1" s="732"/>
      <c r="F1" s="731"/>
      <c r="G1" s="732"/>
      <c r="H1" s="732"/>
      <c r="I1" s="732"/>
      <c r="J1" s="732"/>
      <c r="K1" s="731"/>
      <c r="L1" s="731"/>
      <c r="M1" s="731"/>
      <c r="N1" s="731"/>
      <c r="O1" s="731"/>
      <c r="P1" s="731"/>
      <c r="Q1" s="731"/>
      <c r="R1" s="731"/>
      <c r="S1" s="731"/>
      <c r="T1" s="731"/>
      <c r="U1" s="731"/>
      <c r="V1" s="731"/>
      <c r="W1" s="731"/>
      <c r="X1" s="731"/>
      <c r="Y1" s="731"/>
      <c r="Z1" s="731"/>
      <c r="AA1" s="731"/>
      <c r="AB1" s="731"/>
      <c r="AC1" s="731"/>
      <c r="AD1" s="731"/>
      <c r="AE1" s="731"/>
      <c r="AF1" s="731"/>
      <c r="AG1" s="731"/>
      <c r="AH1" s="731"/>
      <c r="AI1" s="731"/>
      <c r="AJ1" s="731"/>
      <c r="AK1" s="731"/>
      <c r="AL1" s="731"/>
      <c r="AM1" s="731"/>
      <c r="AN1" s="731"/>
      <c r="AO1" s="731"/>
      <c r="AP1" s="731"/>
      <c r="AQ1" s="731"/>
      <c r="AR1" s="731"/>
      <c r="AS1" s="731"/>
      <c r="AT1" s="731"/>
      <c r="AU1" s="731"/>
      <c r="AV1" s="731"/>
      <c r="AW1" s="731"/>
      <c r="AX1" s="731"/>
      <c r="AY1" s="731"/>
      <c r="AZ1" s="731"/>
      <c r="BA1" s="731"/>
      <c r="BB1" s="731"/>
      <c r="BC1" s="731"/>
      <c r="BD1" s="731"/>
      <c r="BE1" s="731"/>
      <c r="BF1" s="731"/>
      <c r="BG1" s="731"/>
      <c r="BH1" s="731"/>
    </row>
    <row r="2" spans="1:60" ht="15" customHeight="1">
      <c r="A2" s="138"/>
      <c r="B2" s="736"/>
      <c r="C2" s="737"/>
      <c r="D2" s="738"/>
      <c r="E2" s="737"/>
      <c r="F2" s="738"/>
      <c r="G2" s="737"/>
      <c r="H2" s="737"/>
      <c r="I2" s="737"/>
      <c r="J2" s="738"/>
      <c r="K2" s="738"/>
      <c r="L2" s="738"/>
      <c r="M2" s="738"/>
      <c r="N2" s="738"/>
      <c r="O2" s="738"/>
      <c r="P2" s="738"/>
      <c r="Q2" s="738"/>
      <c r="R2" s="739"/>
      <c r="S2" s="739"/>
      <c r="T2" s="739"/>
      <c r="U2" s="739"/>
      <c r="V2" s="739"/>
      <c r="W2" s="741"/>
      <c r="X2" s="738"/>
      <c r="Y2" s="739"/>
      <c r="Z2" s="739"/>
      <c r="AA2" s="739"/>
      <c r="AB2" s="739"/>
      <c r="AC2" s="739"/>
      <c r="AD2" s="741"/>
      <c r="AE2" s="740"/>
      <c r="AF2" s="2102"/>
      <c r="AG2" s="2102"/>
      <c r="AH2" s="2102"/>
      <c r="AI2" s="2102"/>
      <c r="AJ2" s="2102"/>
      <c r="AK2" s="2102"/>
      <c r="AL2" s="2102"/>
      <c r="AM2" s="2102"/>
      <c r="AN2" s="2102"/>
      <c r="AO2" s="2102"/>
      <c r="AP2" s="2102"/>
      <c r="AQ2" s="2102"/>
      <c r="AR2" s="2102"/>
      <c r="AS2" s="2102"/>
      <c r="AT2" s="2102"/>
      <c r="AU2" s="2102"/>
      <c r="AV2" s="2102"/>
      <c r="AW2" s="740"/>
      <c r="AX2" s="138"/>
      <c r="AY2" s="138"/>
      <c r="AZ2" s="138"/>
      <c r="BA2" s="138"/>
      <c r="BB2" s="138"/>
      <c r="BC2" s="138"/>
      <c r="BD2" s="138"/>
      <c r="BE2" s="138"/>
      <c r="BF2" s="138"/>
      <c r="BG2" s="138"/>
      <c r="BH2" s="138"/>
    </row>
    <row r="3" spans="1:60" ht="15.65" hidden="1" customHeight="1">
      <c r="A3" s="138"/>
      <c r="B3" s="901" t="s">
        <v>449</v>
      </c>
      <c r="C3" s="902"/>
      <c r="D3" s="902"/>
      <c r="E3" s="902"/>
      <c r="F3" s="902"/>
      <c r="G3" s="902"/>
      <c r="H3" s="902"/>
      <c r="I3" s="902"/>
      <c r="J3" s="902"/>
      <c r="K3" s="902"/>
      <c r="L3" s="902"/>
      <c r="M3" s="902"/>
      <c r="N3" s="902"/>
      <c r="O3" s="902"/>
      <c r="P3" s="902"/>
      <c r="Q3" s="902"/>
      <c r="R3" s="902"/>
      <c r="S3" s="902"/>
      <c r="T3" s="902"/>
      <c r="U3" s="902"/>
      <c r="V3" s="902"/>
      <c r="W3" s="903"/>
      <c r="X3" s="882"/>
      <c r="Y3" s="882"/>
      <c r="Z3" s="882"/>
      <c r="AA3" s="882"/>
      <c r="AB3" s="882"/>
      <c r="AC3" s="882"/>
      <c r="AD3" s="882"/>
      <c r="AE3" s="731" t="s">
        <v>28</v>
      </c>
      <c r="AF3" s="2099" t="s">
        <v>436</v>
      </c>
      <c r="AG3" s="2100"/>
      <c r="AH3" s="2100"/>
      <c r="AI3" s="2100"/>
      <c r="AJ3" s="2100"/>
      <c r="AK3" s="2100"/>
      <c r="AL3" s="2100"/>
      <c r="AM3" s="2100"/>
      <c r="AN3" s="2100"/>
      <c r="AO3" s="2100"/>
      <c r="AP3" s="2100"/>
      <c r="AQ3" s="2100"/>
      <c r="AR3" s="2100"/>
      <c r="AS3" s="2100"/>
      <c r="AT3" s="2100"/>
      <c r="AU3" s="2100"/>
      <c r="AV3" s="2101"/>
      <c r="AW3" s="733"/>
      <c r="AX3" s="733"/>
      <c r="AY3" s="733"/>
      <c r="AZ3" s="733"/>
      <c r="BA3" s="733"/>
      <c r="BB3" s="733"/>
    </row>
    <row r="4" spans="1:60" ht="30" customHeight="1">
      <c r="A4" s="309"/>
      <c r="B4" s="291" t="s">
        <v>461</v>
      </c>
      <c r="C4" s="742" t="s">
        <v>64</v>
      </c>
      <c r="D4" s="291" t="s">
        <v>461</v>
      </c>
      <c r="E4" s="742" t="s">
        <v>26</v>
      </c>
      <c r="F4" s="742" t="s">
        <v>589</v>
      </c>
      <c r="G4" s="742" t="s">
        <v>65</v>
      </c>
      <c r="H4" s="742" t="s">
        <v>590</v>
      </c>
      <c r="I4" s="742" t="s">
        <v>558</v>
      </c>
      <c r="J4" s="743" t="s">
        <v>461</v>
      </c>
      <c r="K4" s="291" t="s">
        <v>57</v>
      </c>
      <c r="L4" s="291" t="s">
        <v>58</v>
      </c>
      <c r="M4" s="291" t="s">
        <v>59</v>
      </c>
      <c r="N4" s="291" t="s">
        <v>60</v>
      </c>
      <c r="O4" s="291" t="s">
        <v>113</v>
      </c>
      <c r="P4" s="742" t="s">
        <v>649</v>
      </c>
      <c r="Q4" s="291" t="s">
        <v>589</v>
      </c>
      <c r="R4" s="291" t="s">
        <v>61</v>
      </c>
      <c r="S4" s="291" t="s">
        <v>591</v>
      </c>
      <c r="T4" s="291" t="s">
        <v>62</v>
      </c>
      <c r="U4" s="291" t="s">
        <v>63</v>
      </c>
      <c r="V4" s="291" t="s">
        <v>112</v>
      </c>
      <c r="W4" s="742" t="s">
        <v>650</v>
      </c>
      <c r="X4" s="291" t="s">
        <v>590</v>
      </c>
      <c r="Y4" s="291" t="s">
        <v>588</v>
      </c>
      <c r="Z4" s="291" t="s">
        <v>592</v>
      </c>
      <c r="AA4" s="291" t="s">
        <v>593</v>
      </c>
      <c r="AB4" s="291" t="s">
        <v>594</v>
      </c>
      <c r="AC4" s="291" t="s">
        <v>595</v>
      </c>
      <c r="AD4" s="291" t="s">
        <v>651</v>
      </c>
      <c r="AE4" s="309"/>
      <c r="AF4" s="382" t="str">
        <f>IF(Tool!$H$7="Français","Nouvelle construction",IF(Tool!$H$7="Italiano","Nuova costruzione","Neubau"))</f>
        <v>Neubau</v>
      </c>
      <c r="AG4" s="382" t="str">
        <f>IF(Tool!$H$7="Français","Logements",IF(Tool!$H$7="Italiano","Residenziale","Wohnen"))</f>
        <v>Wohnen</v>
      </c>
      <c r="AH4" s="852" t="str">
        <f>IF(Tool!$H$7="Français","École enfantine, Degré primaire, Degré secondaire I",IF(Tool!$H$7="Italiano","Scuole dell’infanzia, Livello primario, Livello secondario I","Vorschule, Primarstufe, Sekundastufe I"))</f>
        <v>Vorschule, Primarstufe, Sekundastufe I</v>
      </c>
      <c r="AI4" s="852" t="str">
        <f>IF(Tool!$H$7="Français","École primaire",IF(Tool!$H$7="Italiano","Scuole primarie","Primarschule"))</f>
        <v>Primarschule</v>
      </c>
      <c r="AJ4" s="861" t="str">
        <f>IF(Tool!$H$7="Français","Agglomération",IF(Tool!$H$7="Italiano","Agglomerato","Agglomeration"))</f>
        <v>Agglomeration</v>
      </c>
      <c r="AK4" s="862" t="str">
        <f>IF(Tool!$H$7="Français","Desserte TP A",IF(Tool!$H$7="Italiano","Classe di collegamento TP A","ÖV-Güteklasse A"))</f>
        <v>ÖV-Güteklasse A</v>
      </c>
      <c r="AL4" s="852" t="str">
        <f>IF(Tool!$H$7="Français","Ventilation mécanique",IF(Tool!$H$7="Italiano","Ventilazione meccanica","Mechanische Lüftung"))</f>
        <v>Mechanische Lüftung</v>
      </c>
      <c r="AM4" s="852" t="str">
        <f>IF(Tool!$H$7="Français","Haut",IF(Tool!$H$7="Italiano","Alto","Hoch"))</f>
        <v>Hoch</v>
      </c>
      <c r="AN4" s="862" t="str">
        <f>IF(AND(Tool!$H$7="Français",OR(AG27=AI4,AG27=AI5,AG27=AI6)),"Moins de 1 km",
IF(AND(Tool!$H$7="Italiano",OR(AG27=AI4,AG27=AI5,AG27=AI6)),"Meno di 1 km",
IF(OR(AG27=AI4,AG27=AI5,AG27=AI6),"Weniger als 1 km",
IF(Tool!$H$7="Français","Moins de 5 km",
IF(Tool!$H$7="Italiano","Meno di 5 km","Weniger als 5 km")))))</f>
        <v>Weniger als 5 km</v>
      </c>
      <c r="AO4" s="863" t="str">
        <f>IF(Tool!$H$7="Français","Moins de 500 m",IF(Tool!$H$7="Italiano","Meno di 500 m","Weniger als 500 m"))</f>
        <v>Weniger als 500 m</v>
      </c>
      <c r="AP4" s="852" t="str">
        <f>IF(Tool!$H$7="Français","Haut",IF(Tool!$H$7="Italiano","Alto","Hoch"))</f>
        <v>Hoch</v>
      </c>
      <c r="AQ4" s="862" t="str">
        <f>IF(Tool!$H$7="Français","Oui",IF(Tool!$H$7="Italiano","Sì","Ja"))</f>
        <v>Ja</v>
      </c>
      <c r="AR4" s="862" t="str">
        <f>IF(Tool!$H$7="Français","Oui",IF(Tool!$H$7="Italiano","Sì","Ja"))</f>
        <v>Ja</v>
      </c>
      <c r="AS4" s="862" t="str">
        <f>IF(Tool!$H$7="Français","Oui",IF(Tool!$H$7="Italiano","Sì","Ja"))</f>
        <v>Ja</v>
      </c>
      <c r="AT4" s="862" t="str">
        <f>IF(Tool!$H$7="Français","Oui",IF(Tool!$H$7="Italiano","Sì","Ja"))</f>
        <v>Ja</v>
      </c>
      <c r="AU4" s="862" t="str">
        <f>IF(Tool!$H$7="Français","Oui",IF(Tool!$H$7="Italiano","Sì","Ja"))</f>
        <v>Ja</v>
      </c>
      <c r="AV4" s="862" t="str">
        <f>IF(Tool!$H$7="Français","plus de 70 %",IF(Tool!$H$7="Italiano","più del 70%","über 70 %"))</f>
        <v>über 70 %</v>
      </c>
      <c r="AW4" s="862" t="str">
        <f>IF(Tool!$H$7="Français","Oui, 30 % de mieux (Minergie P)",IF(Tool!$H$7="Italiano","Sì, miglioramento del 30% (Minergie P)","Ja, 30 % besser (Minergie P)"))</f>
        <v>Ja, 30 % besser (Minergie P)</v>
      </c>
      <c r="AX4" s="862" t="str">
        <f>IF(Tool!$H$7="Français","Oui, l'autoproduction d'électricité couvre les besoins annuels",IF(Tool!$H$7="Italiano","Sì, la produzione propria di elettricità copre il fabbisogno annuale","Ja, Eigenstromproduktion deckt Jahresbedarf"))</f>
        <v>Ja, Eigenstromproduktion deckt Jahresbedarf</v>
      </c>
      <c r="AY4" s="862" t="str">
        <f>IF(Tool!$H$7="Français","Oui",IF(Tool!$H$7="Italiano","Sì","Ja"))</f>
        <v>Ja</v>
      </c>
      <c r="AZ4" s="391"/>
      <c r="BA4" s="391"/>
      <c r="BB4" s="391"/>
      <c r="BC4" s="138"/>
      <c r="BD4" s="138"/>
      <c r="BE4" s="138"/>
      <c r="BF4" s="138"/>
      <c r="BG4" s="138"/>
      <c r="BH4" s="138"/>
    </row>
    <row r="5" spans="1:60" ht="20.149999999999999" customHeight="1">
      <c r="A5" s="138"/>
      <c r="B5" s="292"/>
      <c r="C5" s="285" t="str">
        <f>IF(Tool!$H$7="Français",G5,IF(Tool!$H$7="Italiano",I5,E5))</f>
        <v>Fragenkatalog</v>
      </c>
      <c r="D5" s="292"/>
      <c r="E5" s="285" t="s">
        <v>89</v>
      </c>
      <c r="F5" s="292"/>
      <c r="G5" s="360" t="s">
        <v>68</v>
      </c>
      <c r="H5" s="360"/>
      <c r="I5" s="360" t="s">
        <v>559</v>
      </c>
      <c r="J5" s="286"/>
      <c r="K5" s="752" t="str">
        <f>E5</f>
        <v>Fragenkatalog</v>
      </c>
      <c r="L5" s="753"/>
      <c r="M5" s="753"/>
      <c r="N5" s="753"/>
      <c r="O5" s="753"/>
      <c r="P5" s="754"/>
      <c r="Q5" s="292"/>
      <c r="R5" s="752" t="str">
        <f>G5</f>
        <v>Questionnaire</v>
      </c>
      <c r="S5" s="753"/>
      <c r="T5" s="753"/>
      <c r="U5" s="753"/>
      <c r="V5" s="753"/>
      <c r="W5" s="754"/>
      <c r="X5" s="292"/>
      <c r="Y5" s="2069" t="str">
        <f>I5</f>
        <v>Questionario</v>
      </c>
      <c r="Z5" s="2070"/>
      <c r="AA5" s="2070"/>
      <c r="AB5" s="2070"/>
      <c r="AC5" s="2070"/>
      <c r="AD5" s="2071"/>
      <c r="AE5" s="138"/>
      <c r="AF5" s="850" t="str">
        <f>IF(Tool!$H$7="Français","Reconstruction",IF(Tool!$H$7="Italiano","Nuova costruzione sostitutiva","Ersatzneubau"))</f>
        <v>Ersatzneubau</v>
      </c>
      <c r="AG5" s="852" t="str">
        <f>IF(Tool!$H$7="Français","Administration",IF(Tool!$H$7="Italiano","Amministrativo","Verwaltung"))</f>
        <v>Verwaltung</v>
      </c>
      <c r="AH5" s="852" t="str">
        <f>IF(Tool!$H$7="Français","Degré secondaire II, Degré tertiaire, formation académique et professionnelle, autre",IF(Tool!$H$7="Italiano","Livello secondario II, Livello terziario, formazione accademica e professionale, altro","Sekundarstufe II, Tertiärstufe, akademische und berufsorientierte Bildung, anderes"))</f>
        <v>Sekundarstufe II, Tertiärstufe, akademische und berufsorientierte Bildung, anderes</v>
      </c>
      <c r="AI5" s="852" t="str">
        <f>IF(Tool!$H$7="Français","École secondaire",IF(Tool!$H$7="Italiano","Scuole secondarie","Sekundarschule"))</f>
        <v>Sekundarschule</v>
      </c>
      <c r="AJ5" s="852" t="str">
        <f>IF(Tool!$H$7="Français","Centre",IF(Tool!$H$7="Italiano","Centro","Zentrum"))</f>
        <v>Zentrum</v>
      </c>
      <c r="AK5" s="850" t="str">
        <f>IF(Tool!$H$7="Français","Desserte TP B",IF(Tool!$H$7="Italiano","Classe di collegamento TP B","ÖV-Güteklasse B"))</f>
        <v>ÖV-Güteklasse B</v>
      </c>
      <c r="AL5" s="850" t="str">
        <f>IF(Tool!$H$7="Français","Ventilation naturelle",IF(Tool!$H$7="Italiano","Ventilazione naturale","Natürliche Lüftung"))</f>
        <v>Natürliche Lüftung</v>
      </c>
      <c r="AM5" s="852" t="str">
        <f>IF(Tool!$H$7="Français","Moyen",IF(Tool!$H$7="Italiano","Medio","Mittel"))</f>
        <v>Mittel</v>
      </c>
      <c r="AN5" s="850" t="str">
        <f>IF(AND(Tool!$H$7="Français",OR(AG24=AI1,AG24=AI2,AG24=AI3)),"1 à 1,5 km",
IF(AND(Tool!$H$7="Italiano",OR(AG24=AI1,AG24=AI2,AG24=AI3)),"Da 1 a 1,5 km",
IF(OR(AG24=AI1,AG24=AI2,AG24=AI3),"1 bis 1,5 km",
IF(Tool!$H$7="Français","5 à 15 km",
IF(Tool!$H$7="Italiano","Da 5 a 15 km","5 bis 15 km")))))</f>
        <v>1 bis 1,5 km</v>
      </c>
      <c r="AO5" s="864" t="str">
        <f>IF(Tool!$H$7="Français","500 m à 1 km",IF(Tool!$H$7="Italiano","Da 500 m a 1 km","500 m bis 1 km"))</f>
        <v>500 m bis 1 km</v>
      </c>
      <c r="AP5" s="852" t="str">
        <f>IF(Tool!$H$7="Français","Moyen",IF(Tool!$H$7="Italiano","Medio","Mittel"))</f>
        <v>Mittel</v>
      </c>
      <c r="AQ5" s="850" t="str">
        <f>IF(Tool!$H$7="Français","Non",IF(Tool!$H$7="Italiano","No","Nein"))</f>
        <v>Nein</v>
      </c>
      <c r="AR5" s="850" t="str">
        <f>IF(Tool!$H$7="Français","Seulement dans un des domaines",IF(Tool!$H$7="Italiano","Solo in una delle aree","Nur in einem der Bereiche"))</f>
        <v>Nur in einem der Bereiche</v>
      </c>
      <c r="AS5" s="850" t="str">
        <f>IF(Tool!$H$7="Français","Pas de calcul effectué",IF(Tool!$H$7="Italiano","Nessun calcolo eseguito","Keine Berechnung durchgeführt"))</f>
        <v>Keine Berechnung durchgeführt</v>
      </c>
      <c r="AT5" s="850" t="str">
        <f>IF(Tool!$H$7="Français","Seulement à l'intérieur",IF(Tool!$H$7="Italiano","Solo all'interno","Nur im Innenraum"))</f>
        <v>Nur im Innenraum</v>
      </c>
      <c r="AU5" s="850" t="str">
        <f>IF(Tool!$H$7="Français","Non",IF(Tool!$H$7="Italiano","No","Nein"))</f>
        <v>Nein</v>
      </c>
      <c r="AV5" s="850" t="str">
        <f>IF(Tool!$H$7="Français","entre 50 et 69 %",IF(Tool!$H$7="Italiano","tra il 50-69%","zwischen 50-69 %"))</f>
        <v>zwischen 50-69 %</v>
      </c>
      <c r="AW5" s="850" t="str">
        <f>IF(Tool!$H$7="Français","Oui, 10 % de mieux (Minergie)",IF(Tool!$H$7="Italiano","Sì, miglioramento del 10% (Minergie)","Ja, 10 % besser (Minergie)"))</f>
        <v>Ja, 10 % besser (Minergie)</v>
      </c>
      <c r="AX5" s="850" t="str">
        <f>IF(Tool!$H$7="Français","Oui",IF(Tool!$H$7="Italiano","Sì","Ja"))</f>
        <v>Ja</v>
      </c>
      <c r="AY5" s="850" t="str">
        <f>IF(Tool!$H$7="Français","Pas de calcul effectué",IF(Tool!$H$7="Italiano","Nessun calcolo eseguito","Keine Berechnung durchgeführt"))</f>
        <v>Keine Berechnung durchgeführt</v>
      </c>
      <c r="AZ5" s="1222" t="str">
        <f>IF(AND(OR(AG28="Agglomeration",AG28="Agglomerato",AG28="Agglomération",AG28="Zentrum",AG28="Centro",AG28="Centre"),OR(AG29="ÖV-Güteklasse A",AG29="Classe di collegamento TP A",AG29="Desserte TP A",AG29="ÖV-Güteklasse B",AG29="Classe di collegamento TP B",AG29="Desserte TP B")),"Ja", IF(AND(OR(AG28="Land",AG28="Campagna",AG28="Campagne"),OR(AG29="ÖV-Güteklasse A",AG29="Classe di collegamento TP A",AG29="Desserte TP A",AG29="ÖV-Güteklasse B",AG29="Classe di collegamento TP B",AG29="Desserte TP B",AG29="ÖV-Güteklasse C",AG29="Classe di collegamento TP C",AG29="Desserte TP C",AG29="ÖV-Güteklasse D",AG29="Classe di collegamento TP D",AG29="Desserte TP D")),"Ja",IF(OR(AG28="",AG29=""),"","Nein")))</f>
        <v>Nein</v>
      </c>
      <c r="BA5" s="144"/>
      <c r="BB5" s="144"/>
      <c r="BC5" s="138"/>
      <c r="BD5" s="138"/>
      <c r="BE5" s="138"/>
      <c r="BF5" s="138"/>
      <c r="BG5" s="138"/>
      <c r="BH5" s="138"/>
    </row>
    <row r="6" spans="1:60" ht="15" customHeight="1">
      <c r="A6" s="138"/>
      <c r="B6" s="436"/>
      <c r="C6" s="416" t="str">
        <f>IF(Tool!$H$7="Français",G6,IF(Tool!$H$7="Italiano",I6,E6))</f>
        <v>Erster Fragenteil</v>
      </c>
      <c r="D6" s="436"/>
      <c r="E6" s="294" t="s">
        <v>90</v>
      </c>
      <c r="F6" s="436"/>
      <c r="G6" s="1586" t="s">
        <v>39</v>
      </c>
      <c r="H6" s="1592"/>
      <c r="I6" s="1587" t="s">
        <v>560</v>
      </c>
      <c r="J6" s="1592"/>
      <c r="K6" s="420"/>
      <c r="L6" s="421"/>
      <c r="M6" s="421"/>
      <c r="N6" s="421"/>
      <c r="O6" s="421"/>
      <c r="P6" s="422"/>
      <c r="Q6" s="436"/>
      <c r="R6" s="423"/>
      <c r="S6" s="424"/>
      <c r="T6" s="424"/>
      <c r="U6" s="424"/>
      <c r="V6" s="421"/>
      <c r="W6" s="425"/>
      <c r="X6" s="436"/>
      <c r="Y6" s="423"/>
      <c r="Z6" s="424"/>
      <c r="AA6" s="424"/>
      <c r="AB6" s="424"/>
      <c r="AC6" s="421"/>
      <c r="AD6" s="425"/>
      <c r="AE6" s="138"/>
      <c r="AF6" s="383" t="str">
        <f>IF(Tool!$H$7="Français","Rénovation",IF(Tool!$H$7="Italiano","Risanamento","Erneuerung"))</f>
        <v>Erneuerung</v>
      </c>
      <c r="AG6" s="850" t="str">
        <f>IF(Tool!$H$7="Français","Bâtiments d‘enseignement",IF(Tool!$H$7="Italiano","Edifici per l‘istruzione","Bildungsbauten"))</f>
        <v>Bildungsbauten</v>
      </c>
      <c r="AH6" s="852"/>
      <c r="AI6" s="852" t="str">
        <f>IF(Tool!$H$7="Français","Gymnase",IF(Tool!$H$7="Italiano","Licei","Gymnasium"))</f>
        <v>Gymnasium</v>
      </c>
      <c r="AJ6" s="852" t="str">
        <f>IF(Tool!$H$7="Français","Campagne",IF(Tool!$H$7="Italiano","Campagna","Land"))</f>
        <v>Land</v>
      </c>
      <c r="AK6" s="850" t="str">
        <f>IF(Tool!$H$7="Français","Desserte TP C",IF(Tool!$H$7="Italiano","Classe di collegamento TP C","ÖV-Güteklasse C"))</f>
        <v>ÖV-Güteklasse C</v>
      </c>
      <c r="AL6" s="850"/>
      <c r="AM6" s="852" t="str">
        <f>IF(Tool!$H$7="Français","Bas",IF(Tool!$H$7="Italiano","Basso","Tief"))</f>
        <v>Tief</v>
      </c>
      <c r="AN6" s="850" t="str">
        <f>IF(AND(Tool!$H$7="Français",OR(AG25=AI2,AG25=AI3,AG25=AI4)),"Plus de 1,5 km",
IF(AND(Tool!$H$7="Italiano",OR(AG25=AI2,AG25=AI3,AG25=AI4)),"Più di 1,5 km",
IF(OR(AG25=AI2,AG25=AI3,AG25=AI4),"Mehr als 1,5 km",
IF(Tool!$H$7="Français","Plus de 15 km",
IF(Tool!$H$7="Italiano","Più di 15 km","Mehr als 15 km")))))</f>
        <v>Mehr als 1,5 km</v>
      </c>
      <c r="AO6" s="864" t="str">
        <f>IF(Tool!$H$7="Français","Plus de 1 km",IF(Tool!$H$7="Italiano","Più di 1 km","Mehr als 1 km"))</f>
        <v>Mehr als 1 km</v>
      </c>
      <c r="AP6" s="852" t="str">
        <f>IF(Tool!$H$7="Français","Bas",IF(Tool!$H$7="Italiano","Basso","Tief"))</f>
        <v>Tief</v>
      </c>
      <c r="AQ6" s="850" t="str">
        <f>IF(Tool!$H$7="Français","Je ne sais pas",IF(Tool!$H$7="Italiano","Non lo so","Weiss nicht"))</f>
        <v>Weiss nicht</v>
      </c>
      <c r="AR6" s="850" t="str">
        <f>IF(Tool!$H$7="Français","Non",IF(Tool!$H$7="Italiano","No","Nein"))</f>
        <v>Nein</v>
      </c>
      <c r="AS6" s="850" t="str">
        <f>IF(Tool!$H$7="Français","Valeur limite dépassée",IF(Tool!$H$7="Italiano","Valore di riferimento superato","Richtwert überboten"))</f>
        <v>Richtwert überboten</v>
      </c>
      <c r="AT6" s="850" t="str">
        <f>IF(Tool!$H$7="Français","Seulement à l'extérieur",IF(Tool!$H$7="Italiano","Solo all'esterno","Nur im Aussenraum"))</f>
        <v>Nur im Aussenraum</v>
      </c>
      <c r="AU6" s="850" t="str">
        <f>IF(Tool!$H$7="Français","Partiellement",IF(Tool!$H$7="Italiano","In parte","Teilweise"))</f>
        <v>Teilweise</v>
      </c>
      <c r="AV6" s="850" t="str">
        <f>IF(Tool!$H$7="Français","entre 20 et 49 %",IF(Tool!$H$7="Italiano","tra il 20-49%","zwischen 20-49 %"))</f>
        <v>zwischen 20-49 %</v>
      </c>
      <c r="AW6" s="850" t="str">
        <f>IF(Tool!$H$7="Français","Non",IF(Tool!$H$7="Italiano","No","Nein"))</f>
        <v>Nein</v>
      </c>
      <c r="AX6" s="850" t="str">
        <f>IF(Tool!$H$7="Français","Non",IF(Tool!$H$7="Italiano","No","Nein"))</f>
        <v>Nein</v>
      </c>
      <c r="AY6" s="850" t="str">
        <f>IF(Tool!$H$7="Français","Valeur limite dépassée",IF(Tool!$H$7="Italiano","Valore di riferimento superato","Richtwert überboten"))</f>
        <v>Richtwert überboten</v>
      </c>
      <c r="AZ6" s="144"/>
      <c r="BA6" s="144"/>
      <c r="BB6" s="144"/>
      <c r="BC6" s="138"/>
      <c r="BD6" s="138"/>
      <c r="BE6" s="138"/>
      <c r="BF6" s="138"/>
      <c r="BG6" s="138"/>
      <c r="BH6" s="138"/>
    </row>
    <row r="7" spans="1:60" ht="15" customHeight="1">
      <c r="A7" s="138"/>
      <c r="B7" s="436"/>
      <c r="C7" s="284" t="str">
        <f>IF(Tool!$H$7="Français",G7,IF(Tool!$H$7="Italiano",I7,E7))</f>
        <v>Ergänzende Hinweise</v>
      </c>
      <c r="D7" s="436"/>
      <c r="E7" s="296" t="s">
        <v>91</v>
      </c>
      <c r="F7" s="436"/>
      <c r="G7" s="1588" t="s">
        <v>92</v>
      </c>
      <c r="H7" s="1593"/>
      <c r="I7" s="1588" t="s">
        <v>561</v>
      </c>
      <c r="J7" s="1593"/>
      <c r="K7" s="423"/>
      <c r="L7" s="424"/>
      <c r="M7" s="424"/>
      <c r="N7" s="424"/>
      <c r="O7" s="424"/>
      <c r="P7" s="422"/>
      <c r="Q7" s="436"/>
      <c r="R7" s="423"/>
      <c r="S7" s="424"/>
      <c r="T7" s="424"/>
      <c r="U7" s="424"/>
      <c r="V7" s="424"/>
      <c r="W7" s="422"/>
      <c r="X7" s="436"/>
      <c r="Y7" s="423"/>
      <c r="Z7" s="424"/>
      <c r="AA7" s="424"/>
      <c r="AB7" s="424"/>
      <c r="AC7" s="424"/>
      <c r="AD7" s="422"/>
      <c r="AE7" s="138"/>
      <c r="AF7" s="850" t="str">
        <f>IF(Tool!$H$7="Français","Edifice existant",IF(Tool!$H$7="Italiano","Edificio esistenti","Bestand"))</f>
        <v>Bestand</v>
      </c>
      <c r="AG7" s="850" t="str">
        <f>IF(Tool!$H$7="Français","Utilisation commerciale RDC",IF(Tool!$H$7="Italiano","Uso al piano terra (uso commerciale)","EG-Nutzung (Gewerbe)"))</f>
        <v>EG-Nutzung (Gewerbe)</v>
      </c>
      <c r="AH7" s="383"/>
      <c r="AI7" s="850" t="str">
        <f>IF(Tool!$H$7="Français","École de culture générale",IF(Tool!$H$7="Italiano","Scuola tecnica","Fachmittelschule"))</f>
        <v>Fachmittelschule</v>
      </c>
      <c r="AJ7" s="852"/>
      <c r="AK7" s="850" t="str">
        <f>IF(Tool!$H$7="Français","Desserte TP D",IF(Tool!$H$7="Italiano","Classe di collegamento TP D","ÖV-Güteklasse D"))</f>
        <v>ÖV-Güteklasse D</v>
      </c>
      <c r="AL7" s="850"/>
      <c r="AM7" s="850"/>
      <c r="AN7" s="850"/>
      <c r="AO7" s="850"/>
      <c r="AP7" s="850" t="str">
        <f>IF(Tool!$H$7="Français","Je ne sais pas",IF(Tool!$H$7="Italiano","Non lo so","Weiss nicht"))</f>
        <v>Weiss nicht</v>
      </c>
      <c r="AQ7" s="850"/>
      <c r="AR7" s="850" t="str">
        <f>IF(Tool!$H$7="Français","Je ne sais pas",IF(Tool!$H$7="Italiano","Non lo so","Weiss nicht"))</f>
        <v>Weiss nicht</v>
      </c>
      <c r="AS7" s="850" t="str">
        <f>IF(Tool!$H$7="Français","Je ne sais pas",IF(Tool!$H$7="Italiano","Non lo so","Weiss nicht"))</f>
        <v>Weiss nicht</v>
      </c>
      <c r="AT7" s="850" t="str">
        <f>IF(Tool!$H$7="Français","Non",IF(Tool!$H$7="Italiano","No","Nein"))</f>
        <v>Nein</v>
      </c>
      <c r="AU7" s="850" t="str">
        <f>IF(Tool!$H$7="Français","Je ne sais pas",IF(Tool!$H$7="Italiano","Non lo so","Weiss nicht"))</f>
        <v>Weiss nicht</v>
      </c>
      <c r="AV7" s="850" t="str">
        <f>IF(Tool!$H$7="Français","moins de 19 %",IF(Tool!$H$7="Italiano","meno del  19%","unter 19 %"))</f>
        <v>unter 19 %</v>
      </c>
      <c r="AW7" s="850" t="str">
        <f>IF(Tool!$H$7="Français","Je ne sais pas",IF(Tool!$H$7="Italiano","Non lo so","Weiss nicht"))</f>
        <v>Weiss nicht</v>
      </c>
      <c r="AX7" s="850" t="str">
        <f>IF(Tool!$H$7="Français","Je ne sais pas",IF(Tool!$H$7="Italiano","Non lo so","Weiss nicht"))</f>
        <v>Weiss nicht</v>
      </c>
      <c r="AY7" s="850" t="str">
        <f>IF(Tool!$H$7="Français","Je ne sais pas",IF(Tool!$H$7="Italiano","Non lo so","Weiss nicht"))</f>
        <v>Weiss nicht</v>
      </c>
      <c r="AZ7" s="144"/>
      <c r="BA7" s="144"/>
      <c r="BB7" s="144"/>
      <c r="BC7" s="138"/>
      <c r="BD7" s="138"/>
      <c r="BE7" s="138"/>
      <c r="BF7" s="138"/>
      <c r="BG7" s="138"/>
      <c r="BH7" s="138"/>
    </row>
    <row r="8" spans="1:60" ht="15" customHeight="1">
      <c r="A8" s="138"/>
      <c r="B8" s="436"/>
      <c r="C8" s="284" t="str">
        <f>IF(Tool!$H$7="Français",G8,IF(Tool!$H$7="Italiano",I8,E8))</f>
        <v>Als Einstieg in den Pre-Check werden Fragen zur Einordnung des Bauvorhabens gestellt. Die Anforderungen an das Projekt können sich in Abhängigkeit der jeweiligen Antwort unterscheiden. Deshalb ist eine Differenzierung mit solchen Fragen notwendig.</v>
      </c>
      <c r="D8" s="436"/>
      <c r="E8" s="296" t="s">
        <v>93</v>
      </c>
      <c r="F8" s="436"/>
      <c r="G8" s="1588" t="s">
        <v>238</v>
      </c>
      <c r="H8" s="1593"/>
      <c r="I8" s="1588" t="s">
        <v>1675</v>
      </c>
      <c r="J8" s="1593"/>
      <c r="K8" s="423"/>
      <c r="L8" s="424"/>
      <c r="M8" s="424"/>
      <c r="N8" s="424"/>
      <c r="O8" s="424"/>
      <c r="P8" s="422"/>
      <c r="Q8" s="436"/>
      <c r="R8" s="423"/>
      <c r="S8" s="424"/>
      <c r="T8" s="424"/>
      <c r="U8" s="424"/>
      <c r="V8" s="424"/>
      <c r="W8" s="422"/>
      <c r="X8" s="436"/>
      <c r="Y8" s="423"/>
      <c r="Z8" s="424"/>
      <c r="AA8" s="424"/>
      <c r="AB8" s="424"/>
      <c r="AC8" s="424"/>
      <c r="AD8" s="422"/>
      <c r="AE8" s="138"/>
      <c r="AF8" s="852"/>
      <c r="AG8" s="852" t="str">
        <f>IF(Tool!$H$7="Français","Autre",IF(Tool!$H$7="Italiano","Altro","Anderes"))</f>
        <v>Anderes</v>
      </c>
      <c r="AH8" s="383"/>
      <c r="AI8" s="852" t="str">
        <f>IF(Tool!$H$7="Français","École professionnelle",IF(Tool!$H$7="Italiano","Scuola professionali","Berufsfachschule"))</f>
        <v>Berufsfachschule</v>
      </c>
      <c r="AJ8" s="852"/>
      <c r="AK8" s="852" t="str">
        <f>IF(Tool!$H$7="Français","Pas de desserte TP",IF(Tool!$H$7="Italiano","Nessuna classe di collegamento TP","Keine ÖV-Güteklasse"))</f>
        <v>Keine ÖV-Güteklasse</v>
      </c>
      <c r="AL8" s="850"/>
      <c r="AM8" s="850"/>
      <c r="AN8" s="850"/>
      <c r="AO8" s="850"/>
      <c r="AP8" s="864"/>
      <c r="AQ8" s="850"/>
      <c r="AR8" s="864"/>
      <c r="AS8" s="850"/>
      <c r="AT8" s="850" t="str">
        <f>IF(Tool!$H$7="Français","Je ne sais pas",IF(Tool!$H$7="Italiano","Non lo so","Weiss nicht"))</f>
        <v>Weiss nicht</v>
      </c>
      <c r="AU8" s="865"/>
      <c r="AV8" s="850" t="str">
        <f>IF(Tool!$H$7="Français","Je ne sais pas",IF(Tool!$H$7="Italiano","Non lo so","Weiss nicht"))</f>
        <v>Weiss nicht</v>
      </c>
      <c r="AW8" s="850"/>
      <c r="AX8" s="850"/>
      <c r="AY8" s="850"/>
      <c r="AZ8" s="138"/>
      <c r="BA8" s="138"/>
      <c r="BB8" s="144"/>
      <c r="BC8" s="138"/>
      <c r="BD8" s="138"/>
      <c r="BE8" s="138"/>
      <c r="BF8" s="138"/>
      <c r="BG8" s="138"/>
      <c r="BH8" s="138"/>
    </row>
    <row r="9" spans="1:60" ht="15" customHeight="1">
      <c r="A9" s="138"/>
      <c r="B9" s="436"/>
      <c r="C9" s="284" t="str">
        <f>IF(Tool!$H$7="Français",G9,IF(Tool!$H$7="Italiano",I9,E9))</f>
        <v>Links: Kriterien mit Zusammenhang zur Frage
Rechts: [nummerierter] Verweis auf ''Info''</v>
      </c>
      <c r="D9" s="436"/>
      <c r="E9" s="296" t="s">
        <v>1651</v>
      </c>
      <c r="F9" s="436"/>
      <c r="G9" s="1588" t="s">
        <v>2004</v>
      </c>
      <c r="H9" s="1593"/>
      <c r="I9" s="1588" t="s">
        <v>1676</v>
      </c>
      <c r="J9" s="1593"/>
      <c r="K9" s="423"/>
      <c r="L9" s="424"/>
      <c r="M9" s="424"/>
      <c r="N9" s="424"/>
      <c r="O9" s="424"/>
      <c r="P9" s="422"/>
      <c r="Q9" s="436"/>
      <c r="R9" s="423"/>
      <c r="S9" s="424"/>
      <c r="T9" s="424"/>
      <c r="U9" s="424"/>
      <c r="V9" s="424"/>
      <c r="W9" s="422"/>
      <c r="X9" s="436"/>
      <c r="Y9" s="423"/>
      <c r="Z9" s="424"/>
      <c r="AA9" s="424"/>
      <c r="AB9" s="424"/>
      <c r="AC9" s="424"/>
      <c r="AD9" s="422"/>
      <c r="AE9" s="138"/>
      <c r="AF9" s="852"/>
      <c r="AG9" s="383"/>
      <c r="AH9" s="852"/>
      <c r="AI9" s="852" t="str">
        <f>IF(Tool!$H$7="Français","École supérieure",IF(Tool!$H$7="Italiano","Scuola specializzate superiori","Höhere Fachschule"))</f>
        <v>Höhere Fachschule</v>
      </c>
      <c r="AJ9" s="852"/>
      <c r="AK9" s="850"/>
      <c r="AL9" s="850"/>
      <c r="AM9" s="850"/>
      <c r="AN9" s="850"/>
      <c r="AO9" s="850"/>
      <c r="AP9" s="864"/>
      <c r="AQ9" s="850"/>
      <c r="AR9" s="864"/>
      <c r="AS9" s="850"/>
      <c r="AT9" s="864"/>
      <c r="AU9" s="850"/>
      <c r="AV9" s="850"/>
      <c r="AW9" s="850"/>
      <c r="AX9" s="850"/>
      <c r="AY9" s="850"/>
      <c r="AZ9" s="138"/>
      <c r="BA9" s="138"/>
      <c r="BB9" s="144"/>
      <c r="BC9" s="138"/>
      <c r="BD9" s="138"/>
      <c r="BE9" s="138"/>
      <c r="BF9" s="138"/>
      <c r="BG9" s="138"/>
      <c r="BH9" s="138"/>
    </row>
    <row r="10" spans="1:60" ht="15" customHeight="1">
      <c r="A10" s="138"/>
      <c r="B10" s="436"/>
      <c r="C10" s="284" t="str">
        <f>IF(Tool!$H$7="Français",G10,IF(Tool!$H$7="Italiano",I10,E10))</f>
        <v/>
      </c>
      <c r="D10" s="436"/>
      <c r="E10" s="296" t="str">
        <f>IF(OR(AG25=AF6,AG25=AF7),"Info [1]","")</f>
        <v/>
      </c>
      <c r="F10" s="436"/>
      <c r="G10" s="1588" t="s">
        <v>1673</v>
      </c>
      <c r="H10" s="1593"/>
      <c r="I10" s="1588" t="s">
        <v>1673</v>
      </c>
      <c r="J10" s="1593"/>
      <c r="K10" s="423"/>
      <c r="L10" s="424"/>
      <c r="M10" s="424"/>
      <c r="N10" s="424"/>
      <c r="O10" s="424"/>
      <c r="P10" s="422"/>
      <c r="Q10" s="436"/>
      <c r="R10" s="423"/>
      <c r="S10" s="424"/>
      <c r="T10" s="424"/>
      <c r="U10" s="424"/>
      <c r="V10" s="424"/>
      <c r="W10" s="422"/>
      <c r="X10" s="436"/>
      <c r="Y10" s="423"/>
      <c r="Z10" s="424"/>
      <c r="AA10" s="424"/>
      <c r="AB10" s="424"/>
      <c r="AC10" s="424"/>
      <c r="AD10" s="422"/>
      <c r="AE10" s="138"/>
      <c r="AF10" s="852"/>
      <c r="AG10" s="383"/>
      <c r="AH10" s="852"/>
      <c r="AI10" s="852" t="str">
        <f>IF(Tool!$H$7="Français","Haute école universitaire",IF(Tool!$H$7="Italiano","Università accademiche","Universitäre Hochschule"))</f>
        <v>Universitäre Hochschule</v>
      </c>
      <c r="AJ10" s="384"/>
      <c r="AK10" s="383"/>
      <c r="AL10" s="383"/>
      <c r="AM10" s="383"/>
      <c r="AN10" s="383"/>
      <c r="AO10" s="383"/>
      <c r="AP10" s="387"/>
      <c r="AQ10" s="387"/>
      <c r="AR10" s="387"/>
      <c r="AS10" s="383"/>
      <c r="AT10" s="383"/>
      <c r="AU10" s="383"/>
      <c r="AV10" s="383"/>
      <c r="AW10" s="383"/>
      <c r="AX10" s="383"/>
      <c r="AY10" s="383"/>
      <c r="AZ10" s="138"/>
      <c r="BA10" s="138"/>
      <c r="BB10" s="138"/>
      <c r="BC10" s="138"/>
      <c r="BD10" s="138"/>
      <c r="BE10" s="138"/>
      <c r="BF10" s="138"/>
      <c r="BG10" s="138"/>
      <c r="BH10" s="138"/>
    </row>
    <row r="11" spans="1:60" ht="15" customHeight="1">
      <c r="A11" s="138"/>
      <c r="B11" s="436"/>
      <c r="C11" s="284" t="str">
        <f>IF(Tool!$H$7="Français",G11,IF(Tool!$H$7="Italiano",I11,E11))</f>
        <v>Info [2]</v>
      </c>
      <c r="D11" s="436"/>
      <c r="E11" s="296" t="s">
        <v>530</v>
      </c>
      <c r="F11" s="436"/>
      <c r="G11" s="1588" t="s">
        <v>530</v>
      </c>
      <c r="H11" s="1593"/>
      <c r="I11" s="1588" t="s">
        <v>530</v>
      </c>
      <c r="J11" s="1593"/>
      <c r="K11" s="423"/>
      <c r="L11" s="424"/>
      <c r="M11" s="424"/>
      <c r="N11" s="424"/>
      <c r="O11" s="424"/>
      <c r="P11" s="422"/>
      <c r="Q11" s="436"/>
      <c r="R11" s="423"/>
      <c r="S11" s="424"/>
      <c r="T11" s="424"/>
      <c r="U11" s="424"/>
      <c r="V11" s="424"/>
      <c r="W11" s="422"/>
      <c r="X11" s="436"/>
      <c r="Y11" s="423"/>
      <c r="Z11" s="424"/>
      <c r="AA11" s="424"/>
      <c r="AB11" s="424"/>
      <c r="AC11" s="424"/>
      <c r="AD11" s="422"/>
      <c r="AE11" s="138"/>
      <c r="AF11" s="383"/>
      <c r="AG11" s="386"/>
      <c r="AH11" s="384"/>
      <c r="AI11" s="852" t="str">
        <f>IF(Tool!$H$7="Français","Haute école spécialisée",IF(Tool!$H$7="Italiano","Scuole universitarie professionali","Fachhochschule"))</f>
        <v>Fachhochschule</v>
      </c>
      <c r="AJ11" s="384"/>
      <c r="AK11" s="383"/>
      <c r="AL11" s="383"/>
      <c r="AM11" s="383"/>
      <c r="AN11" s="383"/>
      <c r="AO11" s="383"/>
      <c r="AP11" s="387"/>
      <c r="AQ11" s="387"/>
      <c r="AR11" s="387"/>
      <c r="AS11" s="383"/>
      <c r="AT11" s="383"/>
      <c r="AU11" s="383"/>
      <c r="AV11" s="383"/>
      <c r="AW11" s="383"/>
      <c r="AX11" s="383"/>
      <c r="AY11" s="383"/>
      <c r="AZ11" s="138"/>
      <c r="BA11" s="138"/>
      <c r="BB11" s="138"/>
      <c r="BC11" s="138"/>
      <c r="BD11" s="138"/>
      <c r="BE11" s="138"/>
      <c r="BF11" s="138"/>
      <c r="BG11" s="138"/>
      <c r="BH11" s="138"/>
    </row>
    <row r="12" spans="1:60" ht="15" customHeight="1">
      <c r="A12" s="138"/>
      <c r="B12" s="436"/>
      <c r="C12" s="284" t="str">
        <f>IF(Tool!$H$7="Français",G12,IF(Tool!$H$7="Italiano",I12,E12))</f>
        <v>Info [3]</v>
      </c>
      <c r="D12" s="436"/>
      <c r="E12" s="296" t="s">
        <v>531</v>
      </c>
      <c r="F12" s="436"/>
      <c r="G12" s="1588" t="s">
        <v>531</v>
      </c>
      <c r="H12" s="1593"/>
      <c r="I12" s="1588" t="s">
        <v>531</v>
      </c>
      <c r="J12" s="1593"/>
      <c r="K12" s="423"/>
      <c r="L12" s="424"/>
      <c r="M12" s="424"/>
      <c r="N12" s="424"/>
      <c r="O12" s="424"/>
      <c r="P12" s="422"/>
      <c r="Q12" s="436"/>
      <c r="R12" s="423"/>
      <c r="S12" s="424"/>
      <c r="T12" s="424"/>
      <c r="U12" s="424"/>
      <c r="V12" s="424"/>
      <c r="W12" s="422"/>
      <c r="X12" s="436"/>
      <c r="Y12" s="423"/>
      <c r="Z12" s="424"/>
      <c r="AA12" s="424"/>
      <c r="AB12" s="424"/>
      <c r="AC12" s="424"/>
      <c r="AD12" s="422"/>
      <c r="AE12" s="138"/>
      <c r="AF12" s="383"/>
      <c r="AG12" s="386"/>
      <c r="AH12" s="384"/>
      <c r="AI12" s="852" t="str">
        <f>IF(Tool!$H$7="Français","Haute école pédagogique",IF(Tool!$H$7="Italiano","Scuole pedagogiche","Pädagogische Hochschule"))</f>
        <v>Pädagogische Hochschule</v>
      </c>
      <c r="AJ12" s="384"/>
      <c r="AK12" s="383"/>
      <c r="AL12" s="383"/>
      <c r="AM12" s="383"/>
      <c r="AN12" s="383"/>
      <c r="AO12" s="383"/>
      <c r="AP12" s="387"/>
      <c r="AQ12" s="388"/>
      <c r="AR12" s="387"/>
      <c r="AS12" s="383"/>
      <c r="AT12" s="383"/>
      <c r="AU12" s="383"/>
      <c r="AV12" s="383"/>
      <c r="AW12" s="383"/>
      <c r="AX12" s="383"/>
      <c r="AY12" s="383"/>
      <c r="AZ12" s="138"/>
      <c r="BA12" s="138"/>
      <c r="BB12" s="138"/>
      <c r="BC12" s="138"/>
      <c r="BD12" s="138"/>
      <c r="BE12" s="138"/>
      <c r="BF12" s="138"/>
      <c r="BG12" s="138"/>
      <c r="BH12" s="138"/>
    </row>
    <row r="13" spans="1:60" ht="15" customHeight="1">
      <c r="A13" s="138"/>
      <c r="B13" s="436"/>
      <c r="C13" s="284" t="str">
        <f>IF(Tool!$H$7="Français",G13,IF(Tool!$H$7="Italiano",I13,E13))</f>
        <v>Info [4]</v>
      </c>
      <c r="D13" s="436"/>
      <c r="E13" s="296" t="s">
        <v>532</v>
      </c>
      <c r="F13" s="436"/>
      <c r="G13" s="1588" t="s">
        <v>532</v>
      </c>
      <c r="H13" s="1593"/>
      <c r="I13" s="1588" t="s">
        <v>532</v>
      </c>
      <c r="J13" s="1593"/>
      <c r="K13" s="423"/>
      <c r="L13" s="424"/>
      <c r="M13" s="424"/>
      <c r="N13" s="424"/>
      <c r="O13" s="424"/>
      <c r="P13" s="422"/>
      <c r="Q13" s="436"/>
      <c r="R13" s="423"/>
      <c r="S13" s="424"/>
      <c r="T13" s="424"/>
      <c r="U13" s="424"/>
      <c r="V13" s="424"/>
      <c r="W13" s="422"/>
      <c r="X13" s="436"/>
      <c r="Y13" s="423"/>
      <c r="Z13" s="424"/>
      <c r="AA13" s="424"/>
      <c r="AB13" s="424"/>
      <c r="AC13" s="424"/>
      <c r="AD13" s="422"/>
      <c r="AE13" s="138"/>
      <c r="AF13" s="383"/>
      <c r="AG13" s="386"/>
      <c r="AH13" s="384"/>
      <c r="AI13" s="852"/>
      <c r="AJ13" s="384"/>
      <c r="AK13" s="383"/>
      <c r="AL13" s="383"/>
      <c r="AM13" s="383"/>
      <c r="AN13" s="383"/>
      <c r="AO13" s="383"/>
      <c r="AP13" s="387"/>
      <c r="AQ13" s="389" t="s">
        <v>231</v>
      </c>
      <c r="AR13" s="387"/>
      <c r="AS13" s="383"/>
      <c r="AT13" s="383"/>
      <c r="AU13" s="383"/>
      <c r="AV13" s="383"/>
      <c r="AW13" s="383"/>
      <c r="AX13" s="383"/>
      <c r="AY13" s="383"/>
      <c r="AZ13" s="138"/>
      <c r="BA13" s="138"/>
      <c r="BB13" s="138"/>
      <c r="BC13" s="138"/>
      <c r="BD13" s="138"/>
      <c r="BE13" s="138"/>
      <c r="BF13" s="138"/>
      <c r="BG13" s="138"/>
      <c r="BH13" s="138"/>
    </row>
    <row r="14" spans="1:60" ht="15" customHeight="1">
      <c r="A14" s="138"/>
      <c r="B14" s="436"/>
      <c r="C14" s="284" t="str">
        <f>IF(Tool!$H$7="Français",G14,IF(Tool!$H$7="Italiano",I14,E14))</f>
        <v>Info [5]</v>
      </c>
      <c r="D14" s="436"/>
      <c r="E14" s="296" t="s">
        <v>533</v>
      </c>
      <c r="F14" s="436"/>
      <c r="G14" s="1588" t="s">
        <v>533</v>
      </c>
      <c r="H14" s="1593"/>
      <c r="I14" s="1588" t="s">
        <v>533</v>
      </c>
      <c r="J14" s="1593"/>
      <c r="K14" s="423"/>
      <c r="L14" s="424"/>
      <c r="M14" s="424"/>
      <c r="N14" s="424"/>
      <c r="O14" s="424"/>
      <c r="P14" s="422"/>
      <c r="Q14" s="436"/>
      <c r="R14" s="423"/>
      <c r="S14" s="424"/>
      <c r="T14" s="424"/>
      <c r="U14" s="424"/>
      <c r="V14" s="424"/>
      <c r="W14" s="422"/>
      <c r="X14" s="436"/>
      <c r="Y14" s="423"/>
      <c r="Z14" s="424"/>
      <c r="AA14" s="424"/>
      <c r="AB14" s="424"/>
      <c r="AC14" s="424"/>
      <c r="AD14" s="422"/>
      <c r="AE14" s="138"/>
      <c r="AF14" s="385"/>
      <c r="AG14" s="385"/>
      <c r="AH14" s="385"/>
      <c r="AI14" s="860"/>
      <c r="AJ14" s="385"/>
      <c r="AK14" s="385"/>
      <c r="AL14" s="385"/>
      <c r="AM14" s="385"/>
      <c r="AN14" s="385"/>
      <c r="AO14" s="385"/>
      <c r="AP14" s="385"/>
      <c r="AQ14" s="390" t="str">
        <f>IF(Tool!$H$7="Français","Non",IF(Tool!$H$7="Italiano","No","Nein"))</f>
        <v>Nein</v>
      </c>
      <c r="AR14" s="385"/>
      <c r="AS14" s="385"/>
      <c r="AT14" s="385"/>
      <c r="AU14" s="385"/>
      <c r="AV14" s="388"/>
      <c r="AW14" s="388"/>
      <c r="AX14" s="388"/>
      <c r="AY14" s="385"/>
      <c r="AZ14" s="138"/>
      <c r="BA14" s="138"/>
      <c r="BB14" s="138"/>
      <c r="BC14" s="138"/>
      <c r="BD14" s="138"/>
      <c r="BE14" s="138"/>
      <c r="BF14" s="138"/>
      <c r="BG14" s="138"/>
      <c r="BH14" s="138"/>
    </row>
    <row r="15" spans="1:60" ht="15" customHeight="1">
      <c r="A15" s="138"/>
      <c r="B15" s="436"/>
      <c r="C15" s="284" t="str">
        <f>IF(Tool!$H$7="Français",G15,IF(Tool!$H$7="Italiano",I15,E15))</f>
        <v>Info [6]</v>
      </c>
      <c r="D15" s="436"/>
      <c r="E15" s="296" t="s">
        <v>534</v>
      </c>
      <c r="F15" s="436"/>
      <c r="G15" s="1588" t="s">
        <v>534</v>
      </c>
      <c r="H15" s="1593"/>
      <c r="I15" s="1588" t="s">
        <v>534</v>
      </c>
      <c r="J15" s="1593"/>
      <c r="K15" s="423"/>
      <c r="L15" s="424"/>
      <c r="M15" s="424"/>
      <c r="N15" s="424"/>
      <c r="O15" s="424"/>
      <c r="P15" s="422"/>
      <c r="Q15" s="436"/>
      <c r="R15" s="423"/>
      <c r="S15" s="424"/>
      <c r="T15" s="424"/>
      <c r="U15" s="424"/>
      <c r="V15" s="424"/>
      <c r="W15" s="422"/>
      <c r="X15" s="436"/>
      <c r="Y15" s="423"/>
      <c r="Z15" s="424"/>
      <c r="AA15" s="424"/>
      <c r="AB15" s="424"/>
      <c r="AC15" s="424"/>
      <c r="AD15" s="422"/>
      <c r="AE15" s="138"/>
      <c r="AF15" s="2103"/>
      <c r="AG15" s="2103"/>
      <c r="AH15" s="2103"/>
      <c r="AI15" s="2103"/>
      <c r="AJ15" s="746"/>
      <c r="AK15" s="2104"/>
      <c r="AL15" s="2104"/>
      <c r="AM15" s="2104"/>
      <c r="AN15" s="2104"/>
      <c r="AO15" s="2104"/>
      <c r="AP15" s="2104"/>
      <c r="AQ15" s="2104"/>
      <c r="AR15" s="2104"/>
      <c r="AS15" s="2104"/>
      <c r="AT15" s="2104"/>
      <c r="AU15" s="2104"/>
      <c r="AV15" s="2104"/>
      <c r="AW15" s="2104"/>
      <c r="AX15" s="138"/>
      <c r="AY15" s="138"/>
      <c r="AZ15" s="2084"/>
      <c r="BA15" s="2084"/>
      <c r="BB15" s="2084"/>
      <c r="BC15" s="2084"/>
      <c r="BD15" s="2084"/>
      <c r="BE15" s="2084"/>
      <c r="BF15" s="2084"/>
      <c r="BG15" s="2084"/>
      <c r="BH15" s="2084"/>
    </row>
    <row r="16" spans="1:60" ht="15" customHeight="1">
      <c r="A16" s="138"/>
      <c r="B16" s="436"/>
      <c r="C16" s="284" t="str">
        <f>IF(Tool!$H$7="Français",G16,IF(Tool!$H$7="Italiano",I16,E16))</f>
        <v>Info [7]</v>
      </c>
      <c r="D16" s="436"/>
      <c r="E16" s="296" t="s">
        <v>535</v>
      </c>
      <c r="F16" s="436"/>
      <c r="G16" s="1588" t="s">
        <v>535</v>
      </c>
      <c r="H16" s="1593"/>
      <c r="I16" s="1588" t="s">
        <v>535</v>
      </c>
      <c r="J16" s="1593"/>
      <c r="K16" s="423"/>
      <c r="L16" s="424"/>
      <c r="M16" s="424"/>
      <c r="N16" s="424"/>
      <c r="O16" s="424"/>
      <c r="P16" s="422"/>
      <c r="Q16" s="436"/>
      <c r="R16" s="423"/>
      <c r="S16" s="424"/>
      <c r="T16" s="424"/>
      <c r="U16" s="424"/>
      <c r="V16" s="424"/>
      <c r="W16" s="422"/>
      <c r="X16" s="436"/>
      <c r="Y16" s="423"/>
      <c r="Z16" s="424"/>
      <c r="AA16" s="424"/>
      <c r="AB16" s="424"/>
      <c r="AC16" s="424"/>
      <c r="AD16" s="422"/>
      <c r="AE16" s="138"/>
      <c r="AF16" s="2104"/>
      <c r="AG16" s="2104"/>
      <c r="AH16" s="2104"/>
      <c r="AI16" s="2104"/>
      <c r="AJ16" s="138"/>
      <c r="AK16" s="2104"/>
      <c r="AL16" s="2104"/>
      <c r="AM16" s="2104"/>
      <c r="AN16" s="2104"/>
      <c r="AO16" s="2104"/>
      <c r="AP16" s="2104"/>
      <c r="AQ16" s="2104"/>
      <c r="AR16" s="2104"/>
      <c r="AS16" s="2104"/>
      <c r="AT16" s="2104"/>
      <c r="AU16" s="2104"/>
      <c r="AV16" s="2104"/>
      <c r="AW16" s="2104"/>
      <c r="AX16" s="138"/>
      <c r="AY16" s="138"/>
      <c r="AZ16" s="2084"/>
      <c r="BA16" s="2084"/>
      <c r="BB16" s="2084"/>
      <c r="BC16" s="2084"/>
      <c r="BD16" s="2084"/>
      <c r="BE16" s="2084"/>
      <c r="BF16" s="2084"/>
      <c r="BG16" s="2084"/>
      <c r="BH16" s="2084"/>
    </row>
    <row r="17" spans="1:60" ht="15" customHeight="1">
      <c r="A17" s="138"/>
      <c r="B17" s="436"/>
      <c r="C17" s="284" t="str">
        <f>IF(Tool!$H$7="Français",G17,IF(Tool!$H$7="Italiano",I17,E17))</f>
        <v>Info [8]</v>
      </c>
      <c r="D17" s="436"/>
      <c r="E17" s="296" t="s">
        <v>536</v>
      </c>
      <c r="F17" s="436"/>
      <c r="G17" s="1588" t="s">
        <v>536</v>
      </c>
      <c r="H17" s="1593"/>
      <c r="I17" s="1588" t="s">
        <v>536</v>
      </c>
      <c r="J17" s="1593"/>
      <c r="K17" s="423"/>
      <c r="L17" s="424"/>
      <c r="M17" s="424"/>
      <c r="N17" s="424"/>
      <c r="O17" s="424"/>
      <c r="P17" s="422"/>
      <c r="Q17" s="436"/>
      <c r="R17" s="423"/>
      <c r="S17" s="424"/>
      <c r="T17" s="424"/>
      <c r="U17" s="424"/>
      <c r="V17" s="424"/>
      <c r="W17" s="422"/>
      <c r="X17" s="436"/>
      <c r="Y17" s="423"/>
      <c r="Z17" s="424"/>
      <c r="AA17" s="424"/>
      <c r="AB17" s="424"/>
      <c r="AC17" s="424"/>
      <c r="AD17" s="422"/>
      <c r="AE17" s="138"/>
      <c r="AF17" s="2104"/>
      <c r="AG17" s="2104"/>
      <c r="AH17" s="2104"/>
      <c r="AI17" s="2104"/>
      <c r="AJ17" s="138"/>
      <c r="AK17" s="2104"/>
      <c r="AL17" s="2104"/>
      <c r="AM17" s="2104"/>
      <c r="AN17" s="2104"/>
      <c r="AO17" s="2104"/>
      <c r="AP17" s="2104"/>
      <c r="AQ17" s="2104"/>
      <c r="AR17" s="2104"/>
      <c r="AS17" s="2104"/>
      <c r="AT17" s="2104"/>
      <c r="AU17" s="2104"/>
      <c r="AV17" s="2104"/>
      <c r="AW17" s="2104"/>
      <c r="AX17" s="138"/>
      <c r="AY17" s="138"/>
      <c r="AZ17" s="2084"/>
      <c r="BA17" s="2084"/>
      <c r="BB17" s="2084"/>
      <c r="BC17" s="2084"/>
      <c r="BD17" s="2084"/>
      <c r="BE17" s="2084"/>
      <c r="BF17" s="2084"/>
      <c r="BG17" s="2084"/>
      <c r="BH17" s="2084"/>
    </row>
    <row r="18" spans="1:60" ht="15" customHeight="1">
      <c r="A18" s="138"/>
      <c r="B18" s="436"/>
      <c r="C18" s="284" t="str">
        <f>IF(Tool!$H$7="Français",G18,IF(Tool!$H$7="Italiano",I18,E18))</f>
        <v>Info [2], [4] &amp; [7]</v>
      </c>
      <c r="D18" s="436"/>
      <c r="E18" s="1593" t="s">
        <v>1426</v>
      </c>
      <c r="F18" s="436"/>
      <c r="G18" s="1588" t="s">
        <v>1426</v>
      </c>
      <c r="H18" s="1593"/>
      <c r="I18" s="1588" t="s">
        <v>1426</v>
      </c>
      <c r="J18" s="1593"/>
      <c r="K18" s="423"/>
      <c r="L18" s="424"/>
      <c r="M18" s="424"/>
      <c r="N18" s="424"/>
      <c r="O18" s="424"/>
      <c r="P18" s="422"/>
      <c r="Q18" s="436"/>
      <c r="R18" s="423"/>
      <c r="S18" s="424"/>
      <c r="T18" s="424"/>
      <c r="U18" s="424"/>
      <c r="V18" s="424"/>
      <c r="W18" s="422"/>
      <c r="X18" s="436"/>
      <c r="Y18" s="423"/>
      <c r="Z18" s="424"/>
      <c r="AA18" s="424"/>
      <c r="AB18" s="424"/>
      <c r="AC18" s="424"/>
      <c r="AD18" s="422"/>
      <c r="AE18" s="138"/>
      <c r="AF18" s="2104"/>
      <c r="AG18" s="2104"/>
      <c r="AH18" s="2104"/>
      <c r="AI18" s="2104"/>
      <c r="AJ18" s="138"/>
      <c r="AK18" s="2104"/>
      <c r="AL18" s="2104"/>
      <c r="AM18" s="2104"/>
      <c r="AN18" s="2104"/>
      <c r="AO18" s="2104"/>
      <c r="AP18" s="2104"/>
      <c r="AQ18" s="2104"/>
      <c r="AR18" s="2104"/>
      <c r="AS18" s="2104"/>
      <c r="AT18" s="2104"/>
      <c r="AU18" s="2104"/>
      <c r="AV18" s="2104"/>
      <c r="AW18" s="2104"/>
      <c r="AX18" s="138"/>
      <c r="AY18" s="138"/>
      <c r="AZ18" s="2084"/>
      <c r="BA18" s="2084"/>
      <c r="BB18" s="2084"/>
      <c r="BC18" s="2084"/>
      <c r="BD18" s="2084"/>
      <c r="BE18" s="2084"/>
      <c r="BF18" s="2084"/>
      <c r="BG18" s="2084"/>
      <c r="BH18" s="2084"/>
    </row>
    <row r="19" spans="1:60" ht="15" customHeight="1">
      <c r="A19" s="138"/>
      <c r="B19" s="436"/>
      <c r="C19" s="284" t="str">
        <f>IF(Tool!$H$7="Français",G19,IF(Tool!$H$7="Italiano",I19,E19))</f>
        <v>&gt; Für eine vollständige Liste hier klicken</v>
      </c>
      <c r="D19" s="436"/>
      <c r="E19" s="296" t="s">
        <v>289</v>
      </c>
      <c r="F19" s="436"/>
      <c r="G19" s="1588" t="s">
        <v>288</v>
      </c>
      <c r="H19" s="1593"/>
      <c r="I19" s="1588" t="s">
        <v>1677</v>
      </c>
      <c r="J19" s="1593"/>
      <c r="K19" s="423"/>
      <c r="L19" s="424"/>
      <c r="M19" s="424"/>
      <c r="N19" s="424"/>
      <c r="O19" s="424"/>
      <c r="P19" s="422"/>
      <c r="Q19" s="436"/>
      <c r="R19" s="423"/>
      <c r="S19" s="424"/>
      <c r="T19" s="424"/>
      <c r="U19" s="424"/>
      <c r="V19" s="424"/>
      <c r="W19" s="422"/>
      <c r="X19" s="436"/>
      <c r="Y19" s="423"/>
      <c r="Z19" s="424"/>
      <c r="AA19" s="424"/>
      <c r="AB19" s="424"/>
      <c r="AC19" s="424"/>
      <c r="AD19" s="422"/>
      <c r="AE19" s="138"/>
      <c r="AF19" s="2104"/>
      <c r="AG19" s="2104"/>
      <c r="AH19" s="2104"/>
      <c r="AI19" s="2104"/>
      <c r="AJ19" s="138"/>
      <c r="AK19" s="2104"/>
      <c r="AL19" s="2104"/>
      <c r="AM19" s="2104"/>
      <c r="AN19" s="2104"/>
      <c r="AO19" s="2104"/>
      <c r="AP19" s="2104"/>
      <c r="AQ19" s="2104"/>
      <c r="AR19" s="2104"/>
      <c r="AS19" s="2104"/>
      <c r="AT19" s="2104"/>
      <c r="AU19" s="2104"/>
      <c r="AV19" s="2104"/>
      <c r="AW19" s="2104"/>
      <c r="AX19" s="138"/>
      <c r="AY19" s="138"/>
      <c r="AZ19" s="2084"/>
      <c r="BA19" s="2084"/>
      <c r="BB19" s="2084"/>
      <c r="BC19" s="2084"/>
      <c r="BD19" s="2084"/>
      <c r="BE19" s="2084"/>
      <c r="BF19" s="2084"/>
      <c r="BG19" s="2084"/>
      <c r="BH19" s="2084"/>
    </row>
    <row r="20" spans="1:60" ht="15" customHeight="1">
      <c r="A20" s="138"/>
      <c r="B20" s="436"/>
      <c r="C20" s="284" t="str">
        <f>IF(Tool!$H$7="Français",G20,IF(Tool!$H$7="Italiano",I20,E20))</f>
        <v>11 Kriterien</v>
      </c>
      <c r="D20" s="436"/>
      <c r="E20" s="296" t="s">
        <v>562</v>
      </c>
      <c r="F20" s="436"/>
      <c r="G20" s="1588" t="s">
        <v>565</v>
      </c>
      <c r="H20" s="1593"/>
      <c r="I20" s="1588" t="s">
        <v>563</v>
      </c>
      <c r="J20" s="1593"/>
      <c r="K20" s="423"/>
      <c r="L20" s="424"/>
      <c r="M20" s="424"/>
      <c r="N20" s="424"/>
      <c r="O20" s="424"/>
      <c r="P20" s="422"/>
      <c r="Q20" s="436"/>
      <c r="R20" s="423"/>
      <c r="S20" s="424"/>
      <c r="T20" s="424"/>
      <c r="U20" s="424"/>
      <c r="V20" s="424"/>
      <c r="W20" s="422"/>
      <c r="X20" s="436"/>
      <c r="Y20" s="423"/>
      <c r="Z20" s="424"/>
      <c r="AA20" s="424"/>
      <c r="AB20" s="424"/>
      <c r="AC20" s="424"/>
      <c r="AD20" s="422"/>
      <c r="AE20" s="138"/>
      <c r="AF20" s="2105"/>
      <c r="AG20" s="2105"/>
      <c r="AH20" s="2105"/>
      <c r="AI20" s="2105"/>
      <c r="AJ20" s="355"/>
      <c r="AK20" s="2104"/>
      <c r="AL20" s="2104"/>
      <c r="AM20" s="2104"/>
      <c r="AN20" s="2104"/>
      <c r="AO20" s="2104"/>
      <c r="AP20" s="2104"/>
      <c r="AQ20" s="2104"/>
      <c r="AR20" s="2104"/>
      <c r="AS20" s="2104"/>
      <c r="AT20" s="2104"/>
      <c r="AU20" s="2104"/>
      <c r="AV20" s="2104"/>
      <c r="AW20" s="2104"/>
      <c r="AX20" s="138"/>
      <c r="AY20" s="138"/>
      <c r="AZ20" s="2084"/>
      <c r="BA20" s="2084"/>
      <c r="BB20" s="2084"/>
      <c r="BC20" s="2084"/>
      <c r="BD20" s="2084"/>
      <c r="BE20" s="2084"/>
      <c r="BF20" s="2084"/>
      <c r="BG20" s="2084"/>
      <c r="BH20" s="2084"/>
    </row>
    <row r="21" spans="1:60" ht="15" customHeight="1">
      <c r="A21" s="138"/>
      <c r="B21" s="436"/>
      <c r="C21" s="284" t="str">
        <f>IF(Tool!$H$7="Français",G21,IF(Tool!$H$7="Italiano",I21,E21))</f>
        <v>4 Kriterien</v>
      </c>
      <c r="D21" s="436"/>
      <c r="E21" s="296" t="s">
        <v>602</v>
      </c>
      <c r="F21" s="436"/>
      <c r="G21" s="1588" t="s">
        <v>566</v>
      </c>
      <c r="H21" s="1593"/>
      <c r="I21" s="1588" t="s">
        <v>564</v>
      </c>
      <c r="J21" s="1593"/>
      <c r="K21" s="423"/>
      <c r="L21" s="424"/>
      <c r="M21" s="424"/>
      <c r="N21" s="424"/>
      <c r="O21" s="424"/>
      <c r="P21" s="422"/>
      <c r="Q21" s="436"/>
      <c r="R21" s="423"/>
      <c r="S21" s="424"/>
      <c r="T21" s="424"/>
      <c r="U21" s="424"/>
      <c r="V21" s="424"/>
      <c r="W21" s="744"/>
      <c r="X21" s="436"/>
      <c r="Y21" s="423"/>
      <c r="Z21" s="424"/>
      <c r="AA21" s="424"/>
      <c r="AB21" s="424"/>
      <c r="AC21" s="424"/>
      <c r="AD21" s="744"/>
      <c r="AE21" s="138"/>
      <c r="AF21" s="2085" t="s">
        <v>442</v>
      </c>
      <c r="AG21" s="2086"/>
      <c r="AH21" s="2086"/>
      <c r="AI21" s="2087"/>
      <c r="AJ21" s="138"/>
      <c r="AK21" s="2085" t="s">
        <v>454</v>
      </c>
      <c r="AL21" s="2086"/>
      <c r="AM21" s="2086"/>
      <c r="AN21" s="2086"/>
      <c r="AO21" s="2086"/>
      <c r="AP21" s="2086"/>
      <c r="AQ21" s="2086"/>
      <c r="AR21" s="2086"/>
      <c r="AS21" s="2086"/>
      <c r="AT21" s="2086"/>
      <c r="AU21" s="2086"/>
      <c r="AV21" s="2086"/>
      <c r="AW21" s="2086"/>
      <c r="AX21" s="2086"/>
      <c r="AY21" s="2087"/>
      <c r="AZ21" s="138"/>
      <c r="BA21" s="748" t="s">
        <v>437</v>
      </c>
      <c r="BB21" s="749"/>
      <c r="BC21" s="750"/>
      <c r="BD21" s="1261"/>
      <c r="BE21" s="1261"/>
      <c r="BF21" s="1261"/>
      <c r="BG21" s="1261"/>
      <c r="BH21" s="138"/>
    </row>
    <row r="22" spans="1:60" ht="15" customHeight="1">
      <c r="A22" s="138"/>
      <c r="B22" s="436"/>
      <c r="C22" s="284" t="str">
        <f>IF(Tool!$H$7="Français",G22,IF(Tool!$H$7="Italiano",I22,E22))</f>
        <v>Info [5] &amp; [7]</v>
      </c>
      <c r="D22" s="436"/>
      <c r="E22" s="296" t="s">
        <v>1589</v>
      </c>
      <c r="F22" s="436"/>
      <c r="G22" s="972" t="s">
        <v>1589</v>
      </c>
      <c r="H22" s="308"/>
      <c r="I22" s="972" t="s">
        <v>1589</v>
      </c>
      <c r="J22" s="308"/>
      <c r="K22" s="423"/>
      <c r="L22" s="734"/>
      <c r="M22" s="734"/>
      <c r="N22" s="734"/>
      <c r="O22" s="734"/>
      <c r="P22" s="125"/>
      <c r="Q22" s="436"/>
      <c r="R22" s="734"/>
      <c r="S22" s="734"/>
      <c r="T22" s="734"/>
      <c r="U22" s="734"/>
      <c r="V22" s="424"/>
      <c r="W22" s="744"/>
      <c r="X22" s="436"/>
      <c r="Y22" s="734"/>
      <c r="Z22" s="734"/>
      <c r="AA22" s="734"/>
      <c r="AB22" s="734"/>
      <c r="AC22" s="424"/>
      <c r="AD22" s="744"/>
      <c r="AE22" s="138"/>
      <c r="AF22" s="2069" t="s">
        <v>444</v>
      </c>
      <c r="AG22" s="2070"/>
      <c r="AH22" s="2070"/>
      <c r="AI22" s="2071"/>
      <c r="AJ22" s="138"/>
      <c r="AK22" s="392" t="str">
        <f>IF(Tool!$H$7="Français",
"Domaine",IF(Tool!$H$7="Italiano",
"Area",
"Bereich"))</f>
        <v>Bereich</v>
      </c>
      <c r="AL22" s="2085" t="str">
        <f>IF(Tool!$H$7="Français",
"Thème",IF(Tool!$H$7="Italiano",
"Tema",
"Thema"))</f>
        <v>Thema</v>
      </c>
      <c r="AM22" s="2087"/>
      <c r="AN22" s="752" t="str">
        <f>IF(Tool!$H$7="Français",
"Critère",IF(Tool!$H$7="Italiano",
"Criterio",
"Kriterium"))</f>
        <v>Kriterium</v>
      </c>
      <c r="AO22" s="2088" t="s">
        <v>1547</v>
      </c>
      <c r="AP22" s="2089"/>
      <c r="AQ22" s="752" t="str">
        <f>IF(Tool!$H$7="Français",
"Critère",IF(Tool!$H$7="Italiano",
"Criterio",
"Kriterium"))</f>
        <v>Kriterium</v>
      </c>
      <c r="AR22" s="753"/>
      <c r="AS22" s="1451">
        <f>IF(OR(AS73="NB",AS81="NB",AS93="NB",AS105="NB",AS115="NB",AS123="NB",AS133="NB",AS137="NB",AS142="NB",AS148="NB",AS153="NB",AS164="NB",AS169="NB",AS177="NB",AS183="NB",AS191="NB",AS196="NB",AS201="NB",AS210="NB",AS214="NB",AS222="NB",AS224="NB",AS225="NB",AS233="NB",AS239="NB",AS249="NB",AS253="NB",AS258="NB",AS263="NB",AS267="NB",AS275="NB",AS281="NB",AS286="NB",AS293="NB",AS303="NB"),0,1)</f>
        <v>0</v>
      </c>
      <c r="AT22" s="752" t="str">
        <f>IF(Tool!$H$7="Français",
"Critère Check Climat",IF(Tool!$H$7="Italiano",
"Criterio Check Clima",
"Klima-Check Kriterium"))</f>
        <v>Klima-Check Kriterium</v>
      </c>
      <c r="AU22" s="753"/>
      <c r="AV22" s="754">
        <f>IF(OR(AW77="NB",AW85="NB",AW89="NB",AW97="NB",AW101="NB",AW111="NB",AW119="NB",AW128="NB",AW160="NB",AW173="NB",AW187="NB",AW206="NB",AW218="NB",AW245="NB",AW246="NB",AW271="NB",AW299="NB"),0,1)</f>
        <v>0</v>
      </c>
      <c r="AW22" s="753"/>
      <c r="AX22" s="753"/>
      <c r="AY22" s="754"/>
      <c r="AZ22" s="138"/>
      <c r="BA22" s="718" t="str">
        <f>"   "&amp;AK23</f>
        <v xml:space="preserve">   Gesellschaft</v>
      </c>
      <c r="BB22" s="719"/>
      <c r="BC22" s="720"/>
      <c r="BH22" s="138"/>
    </row>
    <row r="23" spans="1:60" ht="15" customHeight="1">
      <c r="A23" s="138"/>
      <c r="B23" s="436"/>
      <c r="C23" s="284" t="str">
        <f>IF(Tool!$H$7="Français",G23,IF(Tool!$H$7="Italiano",I23,E23))</f>
        <v>Info [2] &amp; [4]</v>
      </c>
      <c r="D23" s="436"/>
      <c r="E23" s="296" t="s">
        <v>1588</v>
      </c>
      <c r="F23" s="436"/>
      <c r="G23" s="972" t="s">
        <v>1588</v>
      </c>
      <c r="H23" s="1593"/>
      <c r="I23" s="972" t="s">
        <v>1588</v>
      </c>
      <c r="J23" s="1593"/>
      <c r="K23" s="574"/>
      <c r="L23" s="574"/>
      <c r="M23" s="574"/>
      <c r="N23" s="574"/>
      <c r="O23" s="574"/>
      <c r="P23" s="318"/>
      <c r="Q23" s="436"/>
      <c r="R23" s="574"/>
      <c r="S23" s="574"/>
      <c r="T23" s="574"/>
      <c r="U23" s="574"/>
      <c r="V23" s="574"/>
      <c r="W23" s="575"/>
      <c r="X23" s="436"/>
      <c r="Y23" s="574"/>
      <c r="Z23" s="574"/>
      <c r="AA23" s="574"/>
      <c r="AB23" s="574"/>
      <c r="AC23" s="574"/>
      <c r="AD23" s="575"/>
      <c r="AE23" s="138"/>
      <c r="AF23" s="393" t="s">
        <v>230</v>
      </c>
      <c r="AG23" s="394" t="s">
        <v>35</v>
      </c>
      <c r="AH23" s="724" t="s">
        <v>32</v>
      </c>
      <c r="AI23" s="725"/>
      <c r="AJ23" s="138">
        <v>1</v>
      </c>
      <c r="AK23" s="2090" t="str">
        <f>IF(Tool!$H$7="Français",
"Société",IF(Tool!$H$7="Italiano",
"Società",
"Gesellschaft"))</f>
        <v>Gesellschaft</v>
      </c>
      <c r="AL23" s="808" t="str">
        <f>IF(Tool!$H$7="Français",
"Qualité du développement",IF(Tool!$H$7="Italiano",
"Qualità dello sviluppo",
"Qualität der Entwicklung"))</f>
        <v>Qualität der Entwicklung</v>
      </c>
      <c r="AM23" s="759">
        <v>11</v>
      </c>
      <c r="AN23" s="1109" t="str">
        <f>IF(Tool!$H$7="Français",
"Objectifs &amp; cahier des ch. Climat",IF(Tool!$H$7="Italiano",
"Obiettivi e capitolato d’oneri Clima",
"Ziele &amp; Pflichtenhefte Klima"))</f>
        <v>Ziele &amp; Pflichtenhefte Klima</v>
      </c>
      <c r="AO23" s="1291" t="str">
        <f>IF(Tool!$H$7="Français",
"Obj. &amp; cahier des charges",IF(Tool!$H$7="Italiano",
"Obiettivi e cap. d’oneri",
"Ziele &amp; Pflichtenhefte"))</f>
        <v>Ziele &amp; Pflichtenhefte</v>
      </c>
      <c r="AP23" s="808" t="str">
        <f>IF(Tool!$H$7="Français",
"Qualité du développement",IF(Tool!$H$7="Italiano",
"Qualità dello sviluppo",
"Qualität der Entwicklung"))</f>
        <v>Qualität der Entwicklung</v>
      </c>
      <c r="AQ23" s="726">
        <v>111</v>
      </c>
      <c r="AR23" s="760" t="str">
        <f>IF(Tool!$H$7="Français",
"Objectifs &amp; cahier des charges",IF(Tool!$H$7="Italiano",
"Obiettivi e capitolato d’oneri",
"Ziele &amp; Pflichtenhefte"))</f>
        <v>Ziele &amp; Pflichtenhefte</v>
      </c>
      <c r="AS23" s="1116">
        <f>IF(AS73="NB",0,
IF(AS73&gt;=0.85,2,
IF(AS73&gt;=0.65,1,
IF(AS73&gt;=0.5,-1,
IF(AS73&lt;0.5,-2,0)))))</f>
        <v>0</v>
      </c>
      <c r="AT23" s="1115" t="s">
        <v>512</v>
      </c>
      <c r="AU23" s="1109" t="str">
        <f>IF(Tool!$H$7="Français",
"Objectifs &amp; cahier des charges Climat",IF(Tool!$H$7="Italiano",
"Obiettivi e capitolato d’oneri Clima",
"Ziele &amp; Pflichtenhefte Klima"))</f>
        <v>Ziele &amp; Pflichtenhefte Klima</v>
      </c>
      <c r="AV23" s="1108">
        <f>IF(AW77="NB",0,
IF(AW77&gt;=0.85,2,
IF(AW77&gt;=0.65,1,
IF(AW77&gt;=0.5,-1,
IF(AW77&lt;0.5,-2,0)))))</f>
        <v>0</v>
      </c>
      <c r="AW23" s="831"/>
      <c r="AX23" s="832"/>
      <c r="AY23" s="833"/>
      <c r="AZ23" s="138"/>
      <c r="BA23" s="718" t="str">
        <f>"             "&amp;AL23</f>
        <v xml:space="preserve">             Qualität der Entwicklung</v>
      </c>
      <c r="BB23" s="719"/>
      <c r="BC23" s="720"/>
      <c r="BH23" s="138"/>
    </row>
    <row r="24" spans="1:60" ht="15" customHeight="1">
      <c r="A24" s="138"/>
      <c r="B24" s="436"/>
      <c r="C24" s="284" t="str">
        <f>IF(Tool!$H$7="Français",G24,IF(Tool!$H$7="Italiano",I24,E24))</f>
        <v>Der Raumtyp kann abgefragt werden unter:</v>
      </c>
      <c r="D24" s="436"/>
      <c r="E24" s="308" t="s">
        <v>540</v>
      </c>
      <c r="F24" s="436"/>
      <c r="G24" s="974" t="s">
        <v>1674</v>
      </c>
      <c r="H24" s="1593"/>
      <c r="I24" s="1588" t="s">
        <v>1678</v>
      </c>
      <c r="J24" s="1593"/>
      <c r="K24" s="574"/>
      <c r="L24" s="574"/>
      <c r="M24" s="574"/>
      <c r="N24" s="574"/>
      <c r="O24" s="574"/>
      <c r="P24" s="318"/>
      <c r="Q24" s="436"/>
      <c r="R24" s="574"/>
      <c r="S24" s="574"/>
      <c r="T24" s="574"/>
      <c r="U24" s="574"/>
      <c r="V24" s="574"/>
      <c r="W24" s="575"/>
      <c r="X24" s="436"/>
      <c r="Y24" s="574"/>
      <c r="Z24" s="574"/>
      <c r="AA24" s="574"/>
      <c r="AB24" s="574"/>
      <c r="AC24" s="574"/>
      <c r="AD24" s="575"/>
      <c r="AE24" s="138"/>
      <c r="AF24" s="658"/>
      <c r="AG24" s="659"/>
      <c r="AH24" s="724"/>
      <c r="AI24" s="725"/>
      <c r="AJ24" s="138">
        <v>2</v>
      </c>
      <c r="AK24" s="2091"/>
      <c r="AL24" s="114"/>
      <c r="AM24" s="756"/>
      <c r="AN24" s="1110" t="str">
        <f>IF(Tool!$H$7="Français",
"Dévelop. urbain adapté au climat",IF(Tool!$H$7="Italiano",
"Sviluppo urbano adattato al clima",
"Klimaangepasster Städtebau"))</f>
        <v>Klimaangepasster Städtebau</v>
      </c>
      <c r="AO24" s="1293" t="str">
        <f>IF(Tool!$H$7="Français",
"Urbanisme &amp; architecture",IF(Tool!$H$7="Italiano",
"Qualità urban. e archit.",
"Städtebau &amp; Architektur"))</f>
        <v>Städtebau &amp; Architektur</v>
      </c>
      <c r="AP24" s="114"/>
      <c r="AQ24" s="727">
        <v>112</v>
      </c>
      <c r="AR24" s="167" t="str">
        <f>IF(Tool!$H$7="Français",
"Urbanisme &amp; architecture",IF(Tool!$H$7="Italiano",
"Qualità urbanistica e architettonica",
"Städtebau &amp; Architektur"))</f>
        <v>Städtebau &amp; Architektur</v>
      </c>
      <c r="AS24" s="1117">
        <f>IF(AS81="NB",0,
IF(AS81&gt;=0.85,2,
IF(AS81&gt;=0.65,1,
IF(AS81&gt;=0.5,-1,
IF(AS81&lt;0.5,-2,0)))))</f>
        <v>0</v>
      </c>
      <c r="AT24" s="1115" t="s">
        <v>513</v>
      </c>
      <c r="AU24" s="1110" t="str">
        <f>IF(Tool!$H$7="Français",
"Développement urbain adapté au climat",IF(Tool!$H$7="Italiano",
"Sviluppo urbano adattato al clima",
"Klimaangepasster Städtebau"))</f>
        <v>Klimaangepasster Städtebau</v>
      </c>
      <c r="AV24" s="755">
        <f>IF(AW85="NB",0,
IF(AW85&gt;=0.85,2,
IF(AW85&gt;=0.65,1,
IF(AW85&gt;=0.5,-1,
IF(AW85&lt;0.5,-2,0)))))</f>
        <v>0</v>
      </c>
      <c r="AW24" s="834"/>
      <c r="AX24" s="835"/>
      <c r="AY24" s="836"/>
      <c r="AZ24" s="138"/>
      <c r="BA24" s="718" t="str">
        <f>"             "&amp;AL26</f>
        <v xml:space="preserve">             Angebot &amp; Erreichbarkeit</v>
      </c>
      <c r="BB24" s="719"/>
      <c r="BC24" s="720"/>
      <c r="BH24" s="138"/>
    </row>
    <row r="25" spans="1:60" ht="15" customHeight="1">
      <c r="A25" s="138"/>
      <c r="B25" s="877"/>
      <c r="C25" s="284" t="str">
        <f>IF(Tool!$H$7="Français",G25,IF(Tool!$H$7="Italiano",I25,E25))</f>
        <v>Bitte ein Tool auswählen</v>
      </c>
      <c r="D25" s="436"/>
      <c r="E25" s="308" t="s">
        <v>1469</v>
      </c>
      <c r="F25" s="436"/>
      <c r="G25" s="974" t="s">
        <v>1468</v>
      </c>
      <c r="H25" s="347"/>
      <c r="I25" s="974" t="s">
        <v>1467</v>
      </c>
      <c r="J25" s="347"/>
      <c r="K25" s="574"/>
      <c r="L25" s="574"/>
      <c r="M25" s="574"/>
      <c r="N25" s="574"/>
      <c r="O25" s="574"/>
      <c r="P25" s="318"/>
      <c r="Q25" s="436"/>
      <c r="R25" s="574"/>
      <c r="S25" s="574"/>
      <c r="T25" s="574"/>
      <c r="U25" s="574"/>
      <c r="V25" s="574"/>
      <c r="W25" s="575"/>
      <c r="X25" s="436"/>
      <c r="Y25" s="574"/>
      <c r="Z25" s="574"/>
      <c r="AA25" s="574"/>
      <c r="AB25" s="574"/>
      <c r="AC25" s="574"/>
      <c r="AD25" s="575"/>
      <c r="AE25" s="138"/>
      <c r="AF25" s="379">
        <v>1</v>
      </c>
      <c r="AG25" s="299">
        <f>Check!S69</f>
        <v>0</v>
      </c>
      <c r="AH25" s="722"/>
      <c r="AI25" s="722"/>
      <c r="AJ25" s="138">
        <v>3</v>
      </c>
      <c r="AK25" s="2091"/>
      <c r="AL25" s="114"/>
      <c r="AM25" s="756"/>
      <c r="AN25" s="1110" t="str">
        <f>IF(Tool!$H$7="Français",
"Proc. sél. planif. adaptée au climat",IF(Tool!$H$7="Italiano",
"Sel. progettisti adattata al clima",
"Klimaangepasstes Planerwahlverfahren"))</f>
        <v>Klimaangepasstes Planerwahlverfahren</v>
      </c>
      <c r="AO25" s="1293" t="str">
        <f>IF(Tool!$H$7="Français",
"Participation",IF(Tool!$H$7="Italiano",
"Partecipazione",
"Partizipation"))</f>
        <v>Partizipation</v>
      </c>
      <c r="AP25" s="114"/>
      <c r="AQ25" s="727">
        <v>113</v>
      </c>
      <c r="AR25" s="167" t="str">
        <f>IF(Tool!$H$7="Français",
"Participation",IF(Tool!$H$7="Italiano",
"Partecipazione",
"Partizipation"))</f>
        <v>Partizipation</v>
      </c>
      <c r="AS25" s="114">
        <f>IF(AS93="NB",0,
IF(AS93&gt;=0.85,2,
IF(AS93&gt;=0.65,1,
IF(AS93&gt;=0.5,-1,
IF(AS93&lt;0.5,-2,0)))))</f>
        <v>0</v>
      </c>
      <c r="AT25" s="1115" t="s">
        <v>514</v>
      </c>
      <c r="AU25" s="1110" t="str">
        <f>IF(Tool!$H$7="Français",
"Procédure de sélection des planificateurs adaptée au climat",IF(Tool!$H$7="Italiano",
"Selezione progettisti adattata al clima",
"Klimaangepasstes Planerwahlverfahren"))</f>
        <v>Klimaangepasstes Planerwahlverfahren</v>
      </c>
      <c r="AV25" s="2">
        <f>IF(AW89="NB",0,
IF(AW89&gt;=0.85,2,
IF(AW89&gt;=0.65,1,
IF(AW89&gt;=0.5,-1,
IF(AW89&lt;0.5,-2,0)))))</f>
        <v>0</v>
      </c>
      <c r="AW25" s="834"/>
      <c r="AX25" s="835"/>
      <c r="AY25" s="836"/>
      <c r="AZ25" s="138"/>
      <c r="BA25" s="718" t="str">
        <f>"              "&amp;AL28</f>
        <v xml:space="preserve">              Gebrauchsqualität</v>
      </c>
      <c r="BB25" s="719"/>
      <c r="BC25" s="720"/>
      <c r="BH25" s="138"/>
    </row>
    <row r="26" spans="1:60" ht="15" customHeight="1">
      <c r="A26" s="138"/>
      <c r="B26" s="436"/>
      <c r="C26" s="284" t="str">
        <f>IF(Tool!$H$7="Français",G26,IF(Tool!$H$7="Italiano",I26,E26))</f>
        <v>Antworten löschen</v>
      </c>
      <c r="D26" s="436"/>
      <c r="E26" s="308" t="s">
        <v>1350</v>
      </c>
      <c r="F26" s="436"/>
      <c r="G26" s="974" t="s">
        <v>1351</v>
      </c>
      <c r="H26" s="347"/>
      <c r="I26" s="974" t="s">
        <v>1352</v>
      </c>
      <c r="J26" s="347"/>
      <c r="K26" s="574"/>
      <c r="L26" s="574"/>
      <c r="M26" s="574"/>
      <c r="N26" s="574"/>
      <c r="O26" s="574"/>
      <c r="P26" s="318"/>
      <c r="Q26" s="436"/>
      <c r="R26" s="574"/>
      <c r="S26" s="574"/>
      <c r="T26" s="574"/>
      <c r="U26" s="574"/>
      <c r="V26" s="574"/>
      <c r="W26" s="575"/>
      <c r="X26" s="436"/>
      <c r="Y26" s="574"/>
      <c r="Z26" s="574"/>
      <c r="AA26" s="574"/>
      <c r="AB26" s="574"/>
      <c r="AC26" s="574"/>
      <c r="AD26" s="575"/>
      <c r="AE26" s="138"/>
      <c r="AF26" s="380">
        <v>2</v>
      </c>
      <c r="AG26" s="300">
        <f>Check!S72</f>
        <v>0</v>
      </c>
      <c r="AH26" s="722"/>
      <c r="AI26" s="722"/>
      <c r="AJ26" s="138">
        <v>4</v>
      </c>
      <c r="AK26" s="2091"/>
      <c r="AL26" s="809" t="str">
        <f>IF(Tool!$H$7="Français",
"Accessibilité &amp; commodités",IF(Tool!$H$7="Italiano",
"Offerta e raggiungibilità",
"Angebot &amp; Erreichbarkeit"))</f>
        <v>Angebot &amp; Erreichbarkeit</v>
      </c>
      <c r="AM26" s="756">
        <v>12</v>
      </c>
      <c r="AN26" s="1110" t="str">
        <f>IF(Tool!$H$7="Français",
"Sensib. &amp; comportement des utilis.",IF(Tool!$H$7="Italiano",
"Sensib. e comportamento utenti",
"Sensibilisierung &amp; Nutzerverhalten"))</f>
        <v>Sensibilisierung &amp; Nutzerverhalten</v>
      </c>
      <c r="AO26" s="1293" t="str">
        <f>IF(Tool!$H$7="Français",
"Accessibilité aux commodités",IF(Tool!$H$7="Italiano",
"Raggiungibilità e off. di utilizzi",
"Erreichbarkeit &amp; Nutzungsang."))</f>
        <v>Erreichbarkeit &amp; Nutzungsang.</v>
      </c>
      <c r="AP26" s="809" t="str">
        <f>IF(Tool!$H$7="Français",
"Accessibilité &amp; commodités",IF(Tool!$H$7="Italiano",
"Offerta e raggiungibilità",
"Angebot &amp; Erreichbarkeit"))</f>
        <v>Angebot &amp; Erreichbarkeit</v>
      </c>
      <c r="AQ26" s="727">
        <v>121</v>
      </c>
      <c r="AR26" s="167" t="str">
        <f>IF(Tool!$H$7="Français",
"Accessibilité aux commodités",IF(Tool!$H$7="Italiano",
"Raggiungibilità e offerta di utilizzi nel quartiere circostante",
"Erreichbarkeit &amp; Nutzungsangebot im Quartierumfeld"))</f>
        <v>Erreichbarkeit &amp; Nutzungsangebot im Quartierumfeld</v>
      </c>
      <c r="AS26" s="1117">
        <f>IF(AG29=AK8,-2,
IF(AS105="NB",0,
IF(AS105&gt;=0.85,2,
IF(AS105&gt;=0.65,1,
IF(AS105&gt;=0.5,-1,
IF(AS105&lt;0.5,-2,0))))))</f>
        <v>0</v>
      </c>
      <c r="AT26" s="1115" t="s">
        <v>515</v>
      </c>
      <c r="AU26" s="1110" t="str">
        <f>IF(Tool!$H$7="Français",
"Sensibilisation &amp; comportement des utilisatrices et utilisateurs",IF(Tool!$H$7="Italiano",
"Sensibilizzazione e comportamento utenti",
"Sensibilisierung &amp; Nutzerverhalten"))</f>
        <v>Sensibilisierung &amp; Nutzerverhalten</v>
      </c>
      <c r="AV26" s="755">
        <f>IF(AW97="NB",0,
IF(AW97&gt;=0.85,2,
IF(AW97&gt;=0.65,1,
IF(AW97&gt;=0.5,-1,
IF(AW97&lt;0.5,-2,0)))))</f>
        <v>0</v>
      </c>
      <c r="AW26" s="834"/>
      <c r="AX26" s="835"/>
      <c r="AY26" s="836"/>
      <c r="AZ26" s="138"/>
      <c r="BA26" s="718" t="str">
        <f>"           "&amp;AL30</f>
        <v xml:space="preserve">           Wohlbefinden &amp; Gesundheit</v>
      </c>
      <c r="BB26" s="719"/>
      <c r="BC26" s="720"/>
      <c r="BH26" s="138"/>
    </row>
    <row r="27" spans="1:60" ht="15" customHeight="1">
      <c r="A27" s="138"/>
      <c r="B27" s="877"/>
      <c r="C27" s="284" t="str">
        <f>IF(Tool!$H$7="Français",G27,IF(Tool!$H$7="Italiano",I27,E27))</f>
        <v>Info [2] &amp; [8]</v>
      </c>
      <c r="D27" s="436"/>
      <c r="E27" s="296" t="s">
        <v>1598</v>
      </c>
      <c r="F27" s="436"/>
      <c r="G27" s="972" t="s">
        <v>1598</v>
      </c>
      <c r="H27" s="308"/>
      <c r="I27" s="972" t="s">
        <v>1598</v>
      </c>
      <c r="J27" s="308"/>
      <c r="K27" s="574"/>
      <c r="L27" s="574"/>
      <c r="M27" s="574"/>
      <c r="N27" s="574"/>
      <c r="O27" s="574"/>
      <c r="P27" s="318"/>
      <c r="Q27" s="436"/>
      <c r="R27" s="574"/>
      <c r="S27" s="574"/>
      <c r="T27" s="574"/>
      <c r="U27" s="574"/>
      <c r="V27" s="574"/>
      <c r="W27" s="575"/>
      <c r="X27" s="436"/>
      <c r="Y27" s="574"/>
      <c r="Z27" s="574"/>
      <c r="AA27" s="574"/>
      <c r="AB27" s="574"/>
      <c r="AC27" s="574"/>
      <c r="AD27" s="575"/>
      <c r="AE27" s="138"/>
      <c r="AF27" s="380" t="s">
        <v>125</v>
      </c>
      <c r="AG27" s="300">
        <f>Check!S75</f>
        <v>0</v>
      </c>
      <c r="AH27" s="722"/>
      <c r="AI27" s="722"/>
      <c r="AJ27" s="138">
        <v>5</v>
      </c>
      <c r="AK27" s="2091"/>
      <c r="AL27" s="758"/>
      <c r="AM27" s="756"/>
      <c r="AN27" s="1110" t="str">
        <f>IF(Tool!$H$7="Français",
"Participation à la protect. du climat",IF(Tool!$H$7="Italiano",
"Partecipazione alla protez. del clima",
"Partizipation im Klimaschutz"))</f>
        <v>Partizipation im Klimaschutz</v>
      </c>
      <c r="AO27" s="167" t="str">
        <f>IF(Tool!$H$7="Français",
"Constr. sans obstacles",IF(Tool!$H$7="Italiano",
"Costruz. senza ostacoli",
"Hindernisfreies Bauen"))</f>
        <v>Hindernisfreies Bauen</v>
      </c>
      <c r="AP27" s="758"/>
      <c r="AQ27" s="727">
        <v>122</v>
      </c>
      <c r="AR27" s="167" t="str">
        <f>IF(Tool!$H$7="Français",
"Construction sans obstacles",IF(Tool!$H$7="Italiano",
"Costruzione senza ostacoli",
"Hindernisfreies Bauen"))</f>
        <v>Hindernisfreies Bauen</v>
      </c>
      <c r="AS27" s="114">
        <f>IF(AS115="NB",0,
IF(AS115&gt;=0.85,2,
IF(AS115&gt;=0.65,1,
IF(AS115&gt;=0.5,-1,
IF(AS115&lt;0.5,-2,0)))))</f>
        <v>0</v>
      </c>
      <c r="AT27" s="1115" t="s">
        <v>516</v>
      </c>
      <c r="AU27" s="1110" t="str">
        <f>IF(Tool!$H$7="Français",
"Participation à la protection du climat",IF(Tool!$H$7="Italiano",
"Partecipazione alla protezione del clima",
"Partizipation im Klimaschutz"))</f>
        <v>Partizipation im Klimaschutz</v>
      </c>
      <c r="AV27" s="2">
        <f>IF(AW101="NB",0,
IF(AW101&gt;=0.85,2,
IF(AW101&gt;=0.65,1,
IF(AW101&gt;=0.5,-1,
IF(AW101&lt;0.5,-2,0)))))</f>
        <v>0</v>
      </c>
      <c r="AW27" s="834"/>
      <c r="AX27" s="835"/>
      <c r="AY27" s="836"/>
      <c r="AZ27" s="138"/>
      <c r="BA27" s="718" t="str">
        <f>"    "&amp;AK38</f>
        <v xml:space="preserve">    Wirtschaft</v>
      </c>
      <c r="BB27" s="719"/>
      <c r="BC27" s="720"/>
      <c r="BH27" s="138"/>
    </row>
    <row r="28" spans="1:60" ht="15" customHeight="1">
      <c r="A28" s="138"/>
      <c r="B28" s="436"/>
      <c r="C28" s="284" t="str">
        <f>IF(Tool!$H$7="Français",G28,IF(Tool!$H$7="Italiano",I28,E28))</f>
        <v>Info [2] &amp; [4]</v>
      </c>
      <c r="D28" s="436"/>
      <c r="E28" s="343" t="str">
        <f>IF(OR(AG25=AF6,AG25=AF7),"Info [1], [2] &amp; [4]","Info [2] &amp; [4]")</f>
        <v>Info [2] &amp; [4]</v>
      </c>
      <c r="F28" s="877"/>
      <c r="G28" s="1589" t="str">
        <f>IF(OR(AG25=AF6,AG25=AF7),"Info [1], [2] &amp; [4]","Info [2] &amp; [4]")</f>
        <v>Info [2] &amp; [4]</v>
      </c>
      <c r="H28" s="343"/>
      <c r="I28" s="1589" t="str">
        <f>IF(OR(AG25=AF6,AG25=AF7),"Info [1], [2] &amp; [4]","Info [2] &amp; [4]")</f>
        <v>Info [2] &amp; [4]</v>
      </c>
      <c r="J28" s="343"/>
      <c r="K28" s="735"/>
      <c r="L28" s="735"/>
      <c r="M28" s="735"/>
      <c r="N28" s="735"/>
      <c r="O28" s="735"/>
      <c r="P28" s="318"/>
      <c r="Q28" s="436"/>
      <c r="R28" s="735"/>
      <c r="S28" s="735"/>
      <c r="T28" s="735"/>
      <c r="U28" s="735"/>
      <c r="V28" s="735"/>
      <c r="W28" s="745"/>
      <c r="X28" s="436"/>
      <c r="Y28" s="735"/>
      <c r="Z28" s="735"/>
      <c r="AA28" s="735"/>
      <c r="AB28" s="735"/>
      <c r="AC28" s="735"/>
      <c r="AD28" s="745"/>
      <c r="AE28" s="138"/>
      <c r="AF28" s="380">
        <v>3</v>
      </c>
      <c r="AG28" s="300">
        <f>Check!S78</f>
        <v>0</v>
      </c>
      <c r="AH28" s="722"/>
      <c r="AI28" s="722"/>
      <c r="AJ28" s="138">
        <v>6</v>
      </c>
      <c r="AK28" s="2091"/>
      <c r="AL28" s="809" t="str">
        <f>IF(Tool!$H$7="Français",
"Qualité d’usage",IF(Tool!$H$7="Italiano",
"Qualità di utilizzo",
"Gebrauchsqualität"))</f>
        <v>Gebrauchsqualität</v>
      </c>
      <c r="AM28" s="756">
        <v>13</v>
      </c>
      <c r="AN28" s="1110" t="str">
        <f>IF(Tool!$H$7="Français",
"Offre de rafraîch. dans le quartier",IF(Tool!$H$7="Italiano",
"Offerta rinfresc. nel quartiere",
"Abkühlungsangebot im Quartier"))</f>
        <v>Abkühlungsangebot im Quartier</v>
      </c>
      <c r="AO28" s="167" t="str">
        <f>IF(Tool!$H$7="Français",
"Esp. d’interaction sociale",IF(Tool!$H$7="Italiano",
"Spazi di interazione sociale",
"Räume sozialer Interaktion"))</f>
        <v>Räume sozialer Interaktion</v>
      </c>
      <c r="AP28" s="809" t="str">
        <f>IF(Tool!$H$7="Français",
"Qualité d’usage",IF(Tool!$H$7="Italiano",
"Qualità di utilizzo",
"Gebrauchsqualität"))</f>
        <v>Gebrauchsqualität</v>
      </c>
      <c r="AQ28" s="727">
        <v>131</v>
      </c>
      <c r="AR28" s="167" t="str">
        <f>IF(Tool!$H$7="Français",
"Espaces d’interaction sociale",IF(Tool!$H$7="Italiano",
"Spazi di interazione sociale",
"Räume sozialer Interaktion"))</f>
        <v>Räume sozialer Interaktion</v>
      </c>
      <c r="AS28" s="114">
        <f>IF(AS123="NB",0,
IF(AS123&gt;=0.85,2,
IF(AS123&gt;=0.65,1,
IF(AS123&gt;=0.5,-1,
IF(AS123&lt;0.5,-2,0)))))</f>
        <v>0</v>
      </c>
      <c r="AT28" s="1115" t="s">
        <v>518</v>
      </c>
      <c r="AU28" s="1110" t="str">
        <f>IF(Tool!$H$7="Français",
"Offre de rafraîchissement dans le quartier",IF(Tool!$H$7="Italiano",
"Offerta rinfrescamento nel quartiere",
"Abkühlungsangebot im Quartier"))</f>
        <v>Abkühlungsangebot im Quartier</v>
      </c>
      <c r="AV28" s="2">
        <f>IF(AW111="NB",0,
IF(AW111&gt;=0.85,2,
IF(AW111&gt;=0.65,1,
IF(AW111&gt;=0.5,-1,
IF(AW111&lt;0.5,-2,0)))))</f>
        <v>0</v>
      </c>
      <c r="AW28" s="834"/>
      <c r="AX28" s="835"/>
      <c r="AY28" s="836"/>
      <c r="AZ28" s="138"/>
      <c r="BA28" s="718" t="str">
        <f>"               "&amp;AL38</f>
        <v xml:space="preserve">               Lebenszyklus</v>
      </c>
      <c r="BB28" s="719"/>
      <c r="BC28" s="720"/>
      <c r="BH28" s="138" t="s">
        <v>2022</v>
      </c>
    </row>
    <row r="29" spans="1:60" ht="15" customHeight="1">
      <c r="A29" s="138"/>
      <c r="B29" s="293"/>
      <c r="C29" s="416" t="str">
        <f>IF(Tool!$H$7="Français",G29,IF(Tool!$H$7="Italiano",I29,E29))</f>
        <v>Einstiegsfragen</v>
      </c>
      <c r="D29" s="299"/>
      <c r="E29" s="294" t="s">
        <v>115</v>
      </c>
      <c r="F29" s="293"/>
      <c r="G29" s="377" t="s">
        <v>39</v>
      </c>
      <c r="H29" s="1590"/>
      <c r="I29" s="377" t="s">
        <v>599</v>
      </c>
      <c r="J29" s="332"/>
      <c r="K29" s="752" t="str">
        <f>E29</f>
        <v>Einstiegsfragen</v>
      </c>
      <c r="L29" s="753"/>
      <c r="M29" s="753"/>
      <c r="N29" s="753"/>
      <c r="O29" s="753"/>
      <c r="P29" s="754"/>
      <c r="Q29" s="299"/>
      <c r="R29" s="752" t="str">
        <f>G29</f>
        <v>Questions initiales</v>
      </c>
      <c r="S29" s="753"/>
      <c r="T29" s="753"/>
      <c r="U29" s="753"/>
      <c r="V29" s="753"/>
      <c r="W29" s="754"/>
      <c r="X29" s="299"/>
      <c r="Y29" s="2069" t="str">
        <f>I29</f>
        <v>Domande introduttive</v>
      </c>
      <c r="Z29" s="2070"/>
      <c r="AA29" s="2070"/>
      <c r="AB29" s="2070"/>
      <c r="AC29" s="2070"/>
      <c r="AD29" s="2071"/>
      <c r="AE29" s="138"/>
      <c r="AF29" s="380">
        <v>4</v>
      </c>
      <c r="AG29" s="1450">
        <f>Check!S81</f>
        <v>0</v>
      </c>
      <c r="AH29" s="722" t="s">
        <v>542</v>
      </c>
      <c r="AI29" s="722"/>
      <c r="AJ29" s="138">
        <v>7</v>
      </c>
      <c r="AK29" s="2091"/>
      <c r="AL29" s="114"/>
      <c r="AM29" s="756"/>
      <c r="AN29" s="1110" t="str">
        <f>IF(Tool!$H$7="Français",
"Edificie avec moyens de rafraîch.",IF(Tool!$H$7="Italiano",
"Edif. ausili per il rinfrescamento",
"Bauen mit Abkühlungshilfen"))</f>
        <v>Bauen mit Abkühlungshilfen</v>
      </c>
      <c r="AO29" s="167" t="str">
        <f>IF(Tool!$H$7="Français",
"Sécurité",IF(Tool!$H$7="Italiano",
"Sicurezza",
"Sicherheit"))</f>
        <v>Sicherheit</v>
      </c>
      <c r="AP29" s="114"/>
      <c r="AQ29" s="727">
        <v>132</v>
      </c>
      <c r="AR29" s="167" t="str">
        <f>IF(Tool!$H$7="Français",
"Sécurité",IF(Tool!$H$7="Italiano",
"Sicurezza",
"Sicherheit"))</f>
        <v>Sicherheit</v>
      </c>
      <c r="AS29" s="114">
        <f>IF(AS133="NB",0,
IF(AS133&gt;=0.85,2,
IF(AS133&gt;=0.65,1,
IF(AS133&gt;=0.5,-1,
IF(AS133&lt;0.5,-2,0)))))</f>
        <v>0</v>
      </c>
      <c r="AT29" s="1115" t="s">
        <v>519</v>
      </c>
      <c r="AU29" s="1110" t="str">
        <f>IF(Tool!$H$7="Français",
"Edifice avec des moyens de rafraîchissement",IF(Tool!$H$7="Italiano",
"Edificio con ausili per il rinfrescamento",
"Bauen mit Abkühlungshilfen"))</f>
        <v>Bauen mit Abkühlungshilfen</v>
      </c>
      <c r="AV29" s="2">
        <f>IF(AW119="NB",0,
IF(AW119&gt;=0.85,2,
IF(AW119&gt;=0.65,1,
IF(AW119&gt;=0.5,-1,
IF(AW119&lt;0.5,-2,0)))))</f>
        <v>0</v>
      </c>
      <c r="AW29" s="834"/>
      <c r="AX29" s="835"/>
      <c r="AY29" s="836"/>
      <c r="AZ29" s="138"/>
      <c r="BA29" s="718" t="str">
        <f>IF(Tool!$H$7="Français",
BH28 &amp; CHAR(10)
&amp; BH29,"               "&amp;AL41)</f>
        <v xml:space="preserve">               Nutzbarkeit</v>
      </c>
      <c r="BB29" s="719"/>
      <c r="BC29" s="720"/>
      <c r="BH29" s="138" t="s">
        <v>2023</v>
      </c>
    </row>
    <row r="30" spans="1:60" ht="15" customHeight="1">
      <c r="A30" s="138"/>
      <c r="B30" s="295">
        <v>1</v>
      </c>
      <c r="C30" s="284" t="str">
        <f>IF(Tool!$H$7="Français",G30,IF(Tool!$H$7="Italiano",I30,E30))</f>
        <v>Welche Art des Bauvorhabens wird bewertet?</v>
      </c>
      <c r="D30" s="295">
        <f>B30</f>
        <v>1</v>
      </c>
      <c r="E30" s="296" t="s">
        <v>30</v>
      </c>
      <c r="F30" s="295">
        <f>B30</f>
        <v>1</v>
      </c>
      <c r="G30" s="340" t="s">
        <v>52</v>
      </c>
      <c r="H30" s="1591">
        <f>B30</f>
        <v>1</v>
      </c>
      <c r="I30" s="340" t="s">
        <v>596</v>
      </c>
      <c r="J30" s="917">
        <f>B30</f>
        <v>1</v>
      </c>
      <c r="K30" s="423"/>
      <c r="L30" s="424"/>
      <c r="M30" s="424"/>
      <c r="N30" s="424"/>
      <c r="O30" s="424"/>
      <c r="P30" s="422"/>
      <c r="Q30" s="295">
        <f>B30</f>
        <v>1</v>
      </c>
      <c r="R30" s="423"/>
      <c r="S30" s="424"/>
      <c r="T30" s="424"/>
      <c r="U30" s="424"/>
      <c r="V30" s="421"/>
      <c r="W30" s="425"/>
      <c r="X30" s="295">
        <f>B30</f>
        <v>1</v>
      </c>
      <c r="Y30" s="423"/>
      <c r="Z30" s="424"/>
      <c r="AA30" s="424"/>
      <c r="AB30" s="424"/>
      <c r="AC30" s="421"/>
      <c r="AD30" s="425"/>
      <c r="AE30" s="138"/>
      <c r="AF30" s="380">
        <v>5</v>
      </c>
      <c r="AG30" s="300">
        <f>Check!S84</f>
        <v>0</v>
      </c>
      <c r="AH30" s="722" t="s">
        <v>544</v>
      </c>
      <c r="AI30" s="722"/>
      <c r="AJ30" s="138">
        <v>8</v>
      </c>
      <c r="AK30" s="2091"/>
      <c r="AL30" s="809" t="str">
        <f>IF(Tool!$H$7="Français",
"Bien-être &amp; santé",IF(Tool!$H$7="Italiano",
"Benessere e salute",
"Wohlbefinden &amp; Gesundheit"))</f>
        <v>Wohlbefinden &amp; Gesundheit</v>
      </c>
      <c r="AM30" s="756">
        <v>14</v>
      </c>
      <c r="AN30" s="1110" t="str">
        <f>IF(Tool!$H$7="Français",
"Offre de rafraîch. espaces semi-pub.",IF(Tool!$H$7="Italiano",
"Offerta rinfresc. in spazi semipub.",
"Abkühlungsang. halböffentl. Räume"))</f>
        <v>Abkühlungsang. halböffentl. Räume</v>
      </c>
      <c r="AO30" s="167" t="str">
        <f>IF(Tool!$H$7="Français",
"Qualité de l’air intérieur",IF(Tool!$H$7="Italiano",
"Qualità dell’aria interna",
"Raumluftqualität"))</f>
        <v>Raumluftqualität</v>
      </c>
      <c r="AP30" s="809" t="str">
        <f>IF(Tool!$H$7="Français",
"Bien-être &amp; santé",IF(Tool!$H$7="Italiano",
"Benessere e salute",
"Wohlbefinden &amp; Gesundheit"))</f>
        <v>Wohlbefinden &amp; Gesundheit</v>
      </c>
      <c r="AQ30" s="757" t="s">
        <v>511</v>
      </c>
      <c r="AR30" s="167" t="str">
        <f>IF(Tool!$H$7="Français",
"Qualité de l’air intérieur",IF(Tool!$H$7="Italiano",
"Qualità dell’aria interna",
"Raumluftqualität"))</f>
        <v>Raumluftqualität</v>
      </c>
      <c r="AS30" s="114">
        <f>IF(AS137="NB",0,
IF(AS137&gt;=0.85,2,
IF(AS137&gt;=0.65,1,
IF(AS137&gt;=0.5,-1,
IF(AS137&lt;0.5,-2,0)))))</f>
        <v>0</v>
      </c>
      <c r="AT30" s="1115" t="s">
        <v>520</v>
      </c>
      <c r="AU30" s="1110" t="str">
        <f>IF(Tool!$H$7="Français",
"Offre de rafraîchissement dans des espaces semi-publics",IF(Tool!$H$7="Italiano",
"Offerta rinfrescamento in spazi semipubblici",
"Abkühlungsangebot halböffentliche Räume"))</f>
        <v>Abkühlungsangebot halböffentliche Räume</v>
      </c>
      <c r="AV30" s="2">
        <f>IF(AW128="NB",0,
IF(AW128&gt;=0.85,2,
IF(AW128&gt;=0.65,1,
IF(AW128&gt;=0.5,-1,
IF(AW128&lt;0.5,-2,0)))))</f>
        <v>0</v>
      </c>
      <c r="AW30" s="651"/>
      <c r="AX30" s="2"/>
      <c r="AY30" s="114"/>
      <c r="AZ30" s="138"/>
      <c r="BA30" s="718" t="str">
        <f>"               "&amp;AL44</f>
        <v xml:space="preserve">               Regionalökonomie</v>
      </c>
      <c r="BB30" s="719"/>
      <c r="BC30" s="720"/>
      <c r="BH30" s="138"/>
    </row>
    <row r="31" spans="1:60" ht="15" customHeight="1">
      <c r="A31" s="138"/>
      <c r="B31" s="295"/>
      <c r="C31" s="296"/>
      <c r="D31" s="300"/>
      <c r="E31" s="296"/>
      <c r="F31" s="295"/>
      <c r="G31" s="340"/>
      <c r="H31" s="944"/>
      <c r="I31" s="340"/>
      <c r="J31" s="917"/>
      <c r="K31" s="423"/>
      <c r="L31" s="424"/>
      <c r="M31" s="424"/>
      <c r="N31" s="424"/>
      <c r="O31" s="424"/>
      <c r="P31" s="422"/>
      <c r="Q31" s="300"/>
      <c r="R31" s="423"/>
      <c r="S31" s="424"/>
      <c r="T31" s="424"/>
      <c r="U31" s="424"/>
      <c r="V31" s="424"/>
      <c r="W31" s="422"/>
      <c r="X31" s="300"/>
      <c r="Y31" s="423"/>
      <c r="Z31" s="424"/>
      <c r="AA31" s="424"/>
      <c r="AB31" s="424"/>
      <c r="AC31" s="424"/>
      <c r="AD31" s="422"/>
      <c r="AE31" s="138"/>
      <c r="AF31" s="380">
        <v>6</v>
      </c>
      <c r="AG31" s="300">
        <f>Check!S87</f>
        <v>0</v>
      </c>
      <c r="AH31" s="722"/>
      <c r="AI31" s="722"/>
      <c r="AJ31" s="138">
        <v>9</v>
      </c>
      <c r="AK31" s="2091"/>
      <c r="AL31" s="746"/>
      <c r="AM31" s="746"/>
      <c r="AN31" s="1110" t="str">
        <f>IF(Tool!$H$7="Français",
"Confort et changement climat.",IF(Tool!$H$7="Italiano",
"Comfort col cambiamento climat.",
"Behaglichkeit im Klimaw."))</f>
        <v>Behaglichkeit im Klimaw.</v>
      </c>
      <c r="AO31" s="167" t="str">
        <f>IF(Tool!$H$7="Français",
"Polluants &amp; rayonnementst",IF(Tool!$H$7="Italiano",
"Sost. inquinanti e radiazioni",
"Schadstoffe &amp; Strahlung"))</f>
        <v>Schadstoffe &amp; Strahlung</v>
      </c>
      <c r="AP31" s="1295"/>
      <c r="AQ31" s="727">
        <v>142</v>
      </c>
      <c r="AR31" s="167" t="str">
        <f>IF(Tool!$H$7="Français",
"Polluants &amp; rayonnementst",IF(Tool!$H$7="Italiano",
"Sostanze inquinanti e radiazioni",
"Schadstoffe &amp; Strahlung"))</f>
        <v>Schadstoffe &amp; Strahlung</v>
      </c>
      <c r="AS31" s="114">
        <f>IF(AS142="NB",0,
IF(AS142&gt;=0.85,2,
IF(AS142&gt;=0.65,1,
IF(AS142&gt;=0.5,-1,
IF(AS142&lt;0.5,-2,0)))))</f>
        <v>0</v>
      </c>
      <c r="AT31" s="1115" t="s">
        <v>521</v>
      </c>
      <c r="AU31" s="1110" t="str">
        <f>IF(Tool!$H$7="Français",
"Confort et changement climatique",IF(Tool!$H$7="Italiano",
"Comfort col cambiamento climatico",
"Behaglichkeit im Klimawandel"))</f>
        <v>Behaglichkeit im Klimawandel</v>
      </c>
      <c r="AV31" s="2">
        <f>IF(AW160="NB",0,
IF(AW160&gt;=0.85,2,
IF(AW160&gt;=0.65,1,
IF(AW160&gt;=0.5,-1,
IF(AW160&lt;0.5,-2,0)))))</f>
        <v>0</v>
      </c>
      <c r="AW31" s="834"/>
      <c r="AX31" s="835"/>
      <c r="AY31" s="836"/>
      <c r="AZ31" s="138"/>
      <c r="BA31" s="718"/>
      <c r="BB31" s="719"/>
      <c r="BC31" s="720"/>
      <c r="BH31" s="138"/>
    </row>
    <row r="32" spans="1:60" ht="15" customHeight="1">
      <c r="A32" s="310"/>
      <c r="B32" s="295">
        <v>2</v>
      </c>
      <c r="C32" s="284" t="str">
        <f>IF(Tool!$H$7="Français",G32,IF(Tool!$H$7="Italiano",I32,E32))</f>
        <v>Hauptkategorie des Gebäudes nach dem Bauvorhaben? (gegebenenfalls Antwort mit der grössten Nutzungsfläche auswählen)</v>
      </c>
      <c r="D32" s="295">
        <f t="shared" ref="D32:D38" si="0">B32</f>
        <v>2</v>
      </c>
      <c r="E32" s="296" t="s">
        <v>597</v>
      </c>
      <c r="F32" s="295">
        <f t="shared" ref="F32:F37" si="1">B32</f>
        <v>2</v>
      </c>
      <c r="G32" s="340" t="s">
        <v>1679</v>
      </c>
      <c r="H32" s="1591">
        <f t="shared" ref="H32:H37" si="2">B32</f>
        <v>2</v>
      </c>
      <c r="I32" s="944" t="s">
        <v>1683</v>
      </c>
      <c r="J32" s="917">
        <f t="shared" ref="J32:J37" si="3">B32</f>
        <v>2</v>
      </c>
      <c r="K32" s="423"/>
      <c r="L32" s="424"/>
      <c r="M32" s="424"/>
      <c r="N32" s="424"/>
      <c r="O32" s="424"/>
      <c r="P32" s="422"/>
      <c r="Q32" s="295">
        <f t="shared" ref="Q32:Q37" si="4">B32</f>
        <v>2</v>
      </c>
      <c r="R32" s="423"/>
      <c r="S32" s="424"/>
      <c r="T32" s="424"/>
      <c r="U32" s="424"/>
      <c r="V32" s="424"/>
      <c r="W32" s="422"/>
      <c r="X32" s="295">
        <f t="shared" ref="X32:X37" si="5">B32</f>
        <v>2</v>
      </c>
      <c r="Y32" s="423"/>
      <c r="Z32" s="424"/>
      <c r="AA32" s="424"/>
      <c r="AB32" s="424"/>
      <c r="AC32" s="424"/>
      <c r="AD32" s="422"/>
      <c r="AE32" s="310"/>
      <c r="AF32" s="380"/>
      <c r="AG32" s="300"/>
      <c r="AH32" s="722"/>
      <c r="AI32" s="722"/>
      <c r="AJ32" s="138">
        <v>10</v>
      </c>
      <c r="AK32" s="2091"/>
      <c r="AL32" s="746"/>
      <c r="AM32" s="746"/>
      <c r="AN32" s="1110" t="str">
        <f>IF(Tool!$H$7="Français",
"Confort visuel et le chang. climat.",IF(Tool!$H$7="Italiano",
"Comfort visivo col camb. climat.",
"Visueller Komfort im Klimaw."))</f>
        <v>Visueller Komfort im Klimaw.</v>
      </c>
      <c r="AO32" s="167" t="str">
        <f>IF(Tool!$H$7="Français",
"Microclimat",IF(Tool!$H$7="Italiano",
"Microclima",
"Mikroklima"))</f>
        <v>Mikroklima</v>
      </c>
      <c r="AP32" s="1295"/>
      <c r="AQ32" s="727">
        <v>143</v>
      </c>
      <c r="AR32" s="167" t="str">
        <f>IF(Tool!$H$7="Français",
"Microclimat",IF(Tool!$H$7="Italiano",
"Microclima",
"Mikroklima"))</f>
        <v>Mikroklima</v>
      </c>
      <c r="AS32" s="114">
        <f>IF(AG30=AQ5,-2,
IF(AS148="NB",0,
IF(AS148&gt;=0.85,2,
IF(AS148&gt;=0.65,1,
IF(AS148&gt;=0.5,-1,
IF(AS148&lt;0.5,-2,0))))))</f>
        <v>0</v>
      </c>
      <c r="AT32" s="1115" t="s">
        <v>522</v>
      </c>
      <c r="AU32" s="1110" t="str">
        <f>IF(Tool!$H$7="Français",
"Confort visuel et changement climatique",IF(Tool!$H$7="Italiano",
"Comfort visivo col cambiamento climatico",
"Visueller Komfort im Klimawandel"))</f>
        <v>Visueller Komfort im Klimawandel</v>
      </c>
      <c r="AV32" s="2">
        <f>IF(AW173="NB",0,
IF(AW173&gt;=0.85,2,
IF(AW173&gt;=0.65,1,
IF(AW173&gt;=0.5,-1,
IF(AW173&lt;0.5,-2,0)))))</f>
        <v>0</v>
      </c>
      <c r="AW32" s="834"/>
      <c r="AX32" s="835"/>
      <c r="AY32" s="836"/>
      <c r="AZ32" s="138"/>
      <c r="BA32" s="718" t="str">
        <f>"    "&amp;AK46</f>
        <v xml:space="preserve">    Umwelt</v>
      </c>
      <c r="BB32" s="719"/>
      <c r="BC32" s="720"/>
      <c r="BH32" s="138"/>
    </row>
    <row r="33" spans="1:60" ht="15" customHeight="1">
      <c r="A33" s="138"/>
      <c r="B33" s="295" t="s">
        <v>148</v>
      </c>
      <c r="C33" s="284" t="str">
        <f>IF(Tool!$H$7="Français",G33,IF(Tool!$H$7="Italiano",I33,E33))</f>
        <v>Welche Schulstufe wird angestrebt? (gegebenenfalls Antwort mit der grössten Nutzungsfläche auswählen)</v>
      </c>
      <c r="D33" s="295" t="str">
        <f t="shared" si="0"/>
        <v>2.1</v>
      </c>
      <c r="E33" s="296" t="s">
        <v>290</v>
      </c>
      <c r="F33" s="295" t="str">
        <f t="shared" si="1"/>
        <v>2.1</v>
      </c>
      <c r="G33" s="340" t="s">
        <v>375</v>
      </c>
      <c r="H33" s="295" t="str">
        <f t="shared" si="2"/>
        <v>2.1</v>
      </c>
      <c r="I33" s="944" t="s">
        <v>1684</v>
      </c>
      <c r="J33" s="917" t="str">
        <f t="shared" si="3"/>
        <v>2.1</v>
      </c>
      <c r="K33" s="370"/>
      <c r="L33" s="371"/>
      <c r="M33" s="371"/>
      <c r="N33" s="371"/>
      <c r="O33" s="371"/>
      <c r="P33" s="372"/>
      <c r="Q33" s="295" t="str">
        <f t="shared" si="4"/>
        <v>2.1</v>
      </c>
      <c r="R33" s="370"/>
      <c r="S33" s="371"/>
      <c r="T33" s="371"/>
      <c r="U33" s="371"/>
      <c r="V33" s="371"/>
      <c r="W33" s="372"/>
      <c r="X33" s="295" t="str">
        <f t="shared" si="5"/>
        <v>2.1</v>
      </c>
      <c r="Y33" s="370"/>
      <c r="Z33" s="371"/>
      <c r="AA33" s="371"/>
      <c r="AB33" s="371"/>
      <c r="AC33" s="371"/>
      <c r="AD33" s="372"/>
      <c r="AE33" s="138"/>
      <c r="AF33" s="380"/>
      <c r="AG33" s="300"/>
      <c r="AH33" s="722"/>
      <c r="AI33" s="722"/>
      <c r="AJ33" s="138">
        <v>11</v>
      </c>
      <c r="AK33" s="2091"/>
      <c r="AL33" s="746"/>
      <c r="AM33" s="746"/>
      <c r="AN33" s="1294"/>
      <c r="AO33" s="167" t="str">
        <f>IF(Tool!$H$7="Français",
"Prot. thermique estivale",IF(Tool!$H$7="Italiano",
"Protezione termica estiva",
"Sommerlicher Wärmeschutz"))</f>
        <v>Sommerlicher Wärmeschutz</v>
      </c>
      <c r="AP33" s="1295"/>
      <c r="AQ33" s="727">
        <v>144</v>
      </c>
      <c r="AR33" s="167" t="str">
        <f>IF(Tool!$H$7="Français",
"Protection thermique estivale",IF(Tool!$H$7="Italiano",
"Protezione termica estiva",
"Sommerlicher Wärmeschutz"))</f>
        <v>Sommerlicher Wärmeschutz</v>
      </c>
      <c r="AS33" s="114">
        <f>IF(AS153="NB",0,
IF(AS153&gt;=0.85,2,
IF(AS153&gt;=0.65,1,
IF(AS153&gt;=0.5,-1,
IF(AS153&lt;0.5,-2,0)))))</f>
        <v>0</v>
      </c>
      <c r="AT33" s="746"/>
      <c r="AU33" s="138"/>
      <c r="AV33" s="138"/>
      <c r="AW33" s="138"/>
      <c r="AX33" s="138"/>
      <c r="AY33" s="810"/>
      <c r="AZ33" s="138"/>
      <c r="BA33" s="718" t="str">
        <f>"               "&amp;AL46</f>
        <v xml:space="preserve">               Klimaschutz</v>
      </c>
      <c r="BB33" s="719"/>
      <c r="BC33" s="720"/>
      <c r="BH33" s="138"/>
    </row>
    <row r="34" spans="1:60" ht="15" customHeight="1">
      <c r="A34" s="138"/>
      <c r="B34" s="295">
        <v>3</v>
      </c>
      <c r="C34" s="284" t="str">
        <f>IF(Tool!$H$7="Français",G34,IF(Tool!$H$7="Italiano",I34,E34))</f>
        <v>Wo steht das Gebäude?</v>
      </c>
      <c r="D34" s="295">
        <f t="shared" si="0"/>
        <v>3</v>
      </c>
      <c r="E34" s="296" t="s">
        <v>31</v>
      </c>
      <c r="F34" s="295">
        <f t="shared" si="1"/>
        <v>3</v>
      </c>
      <c r="G34" s="340" t="s">
        <v>239</v>
      </c>
      <c r="H34" s="295">
        <f t="shared" si="2"/>
        <v>3</v>
      </c>
      <c r="I34" s="944" t="s">
        <v>598</v>
      </c>
      <c r="J34" s="917">
        <f t="shared" si="3"/>
        <v>3</v>
      </c>
      <c r="K34" s="423"/>
      <c r="L34" s="424"/>
      <c r="M34" s="424"/>
      <c r="N34" s="424"/>
      <c r="O34" s="424"/>
      <c r="P34" s="422"/>
      <c r="Q34" s="295">
        <f t="shared" si="4"/>
        <v>3</v>
      </c>
      <c r="R34" s="423"/>
      <c r="S34" s="424"/>
      <c r="T34" s="424"/>
      <c r="U34" s="424"/>
      <c r="V34" s="424"/>
      <c r="W34" s="422"/>
      <c r="X34" s="295">
        <f t="shared" si="5"/>
        <v>3</v>
      </c>
      <c r="Y34" s="423"/>
      <c r="Z34" s="424"/>
      <c r="AA34" s="424"/>
      <c r="AB34" s="424"/>
      <c r="AC34" s="424"/>
      <c r="AD34" s="422"/>
      <c r="AE34" s="138"/>
      <c r="AF34" s="347"/>
      <c r="AG34" s="300"/>
      <c r="AH34" s="721"/>
      <c r="AI34" s="721"/>
      <c r="AJ34" s="138">
        <v>12</v>
      </c>
      <c r="AK34" s="2091"/>
      <c r="AL34" s="746"/>
      <c r="AM34" s="746"/>
      <c r="AN34" s="1294"/>
      <c r="AO34" s="167" t="str">
        <f>IF(Tool!$H$7="Français",
"Prot. thermique hinvernale",IF(Tool!$H$7="Italiano",
"Protezione termica invernale",
"Winterlicher Wärmeschutz"))</f>
        <v>Winterlicher Wärmeschutz</v>
      </c>
      <c r="AP34" s="1295"/>
      <c r="AQ34" s="727">
        <v>145</v>
      </c>
      <c r="AR34" s="167" t="str">
        <f>IF(Tool!$H$7="Français",
"Protection thermique hinvernale",IF(Tool!$H$7="Italiano",
"Protezione termica invernale",
"Winterlicher Wärmeschutz"))</f>
        <v>Winterlicher Wärmeschutz</v>
      </c>
      <c r="AS34" s="114">
        <f>IF(AS164="NB",0,
IF(AS164&gt;=0.85,2,
IF(AS164&gt;=0.65,1,
IF(AS164&gt;=0.5,-1,
IF(AS164&lt;0.5,-2,0)))))</f>
        <v>0</v>
      </c>
      <c r="AT34" s="746"/>
      <c r="AU34" s="138"/>
      <c r="AV34" s="138"/>
      <c r="AW34" s="138"/>
      <c r="AX34" s="138"/>
      <c r="AY34" s="810"/>
      <c r="AZ34" s="138"/>
      <c r="BA34" s="718" t="str">
        <f>"               "&amp;AL49</f>
        <v xml:space="preserve">               Energie</v>
      </c>
      <c r="BB34" s="719"/>
      <c r="BC34" s="720"/>
      <c r="BH34" s="138" t="s">
        <v>2019</v>
      </c>
    </row>
    <row r="35" spans="1:60" ht="15" customHeight="1">
      <c r="A35" s="310"/>
      <c r="B35" s="295">
        <v>4</v>
      </c>
      <c r="C35" s="284" t="str">
        <f>IF(Tool!$H$7="Français",G35,IF(Tool!$H$7="Italiano",I35,E35))</f>
        <v>Welche ÖV-Güteklasse weist das Gebäude auf?</v>
      </c>
      <c r="D35" s="295">
        <f t="shared" si="0"/>
        <v>4</v>
      </c>
      <c r="E35" s="296" t="s">
        <v>9</v>
      </c>
      <c r="F35" s="295">
        <f t="shared" si="1"/>
        <v>4</v>
      </c>
      <c r="G35" s="374" t="s">
        <v>242</v>
      </c>
      <c r="H35" s="295">
        <f t="shared" si="2"/>
        <v>4</v>
      </c>
      <c r="I35" s="973" t="s">
        <v>1685</v>
      </c>
      <c r="J35" s="917">
        <f t="shared" si="3"/>
        <v>4</v>
      </c>
      <c r="K35" s="423"/>
      <c r="L35" s="424"/>
      <c r="M35" s="424"/>
      <c r="N35" s="424"/>
      <c r="O35" s="424"/>
      <c r="P35" s="422"/>
      <c r="Q35" s="295">
        <f t="shared" si="4"/>
        <v>4</v>
      </c>
      <c r="R35" s="423"/>
      <c r="S35" s="424"/>
      <c r="T35" s="424"/>
      <c r="U35" s="424"/>
      <c r="V35" s="424"/>
      <c r="W35" s="422"/>
      <c r="X35" s="295">
        <f t="shared" si="5"/>
        <v>4</v>
      </c>
      <c r="Y35" s="423"/>
      <c r="Z35" s="424"/>
      <c r="AA35" s="424"/>
      <c r="AB35" s="424"/>
      <c r="AC35" s="424"/>
      <c r="AD35" s="422"/>
      <c r="AE35" s="310"/>
      <c r="AF35" s="347"/>
      <c r="AG35" s="300"/>
      <c r="AH35" s="721"/>
      <c r="AI35" s="721"/>
      <c r="AJ35" s="138">
        <v>13</v>
      </c>
      <c r="AK35" s="2091"/>
      <c r="AL35" s="746"/>
      <c r="AM35" s="746"/>
      <c r="AN35" s="1294"/>
      <c r="AO35" s="167" t="str">
        <f>IF(Tool!$H$7="Français",
"Lumière naturelle",
"Tageslicht")</f>
        <v>Tageslicht</v>
      </c>
      <c r="AP35" s="1295"/>
      <c r="AQ35" s="727">
        <v>146</v>
      </c>
      <c r="AR35" s="167" t="str">
        <f>IF(Tool!$H$7="Français",
"Lumière naturelle",
"Tageslicht")</f>
        <v>Tageslicht</v>
      </c>
      <c r="AS35" s="114">
        <f>IF(AS169="NB",0,
IF(AS169&gt;=0.85,2,
IF(AS169&gt;=0.65,1,
IF(AS169&gt;=0.5,-1,
IF(AS169&lt;0.5,-2,0)))))</f>
        <v>0</v>
      </c>
      <c r="AT35" s="746"/>
      <c r="AU35" s="138"/>
      <c r="AV35" s="138"/>
      <c r="AW35" s="138"/>
      <c r="AX35" s="138"/>
      <c r="AY35" s="810"/>
      <c r="AZ35" s="138"/>
      <c r="BA35" s="718" t="str">
        <f>IF(Tool!$H$7="Français",
BH34 &amp; CHAR(10) &amp; BH35,IF(Tool!$H$7="Italiano",
BH38 &amp; CHAR(10) &amp; BH39,
BH36 &amp; CHAR(10) &amp; BH37))</f>
        <v xml:space="preserve">                  Ressourcenschonung 
                   &amp; Umweltschutz</v>
      </c>
      <c r="BB35" s="719"/>
      <c r="BC35" s="720"/>
      <c r="BH35" s="138" t="s">
        <v>2020</v>
      </c>
    </row>
    <row r="36" spans="1:60" ht="15" customHeight="1">
      <c r="A36" s="310"/>
      <c r="B36" s="295">
        <v>5</v>
      </c>
      <c r="C36" s="284" t="str">
        <f>IF(Tool!$H$7="Français",G36,IF(Tool!$H$7="Italiano",I36,E36))</f>
        <v>Weist das Projekt eine begrünte Umgebung auf (z. B. in Form von Grünflächen, Bäumen, Fassaden- und Dachbegrünungen)?</v>
      </c>
      <c r="D36" s="295">
        <f t="shared" si="0"/>
        <v>5</v>
      </c>
      <c r="E36" s="296" t="s">
        <v>731</v>
      </c>
      <c r="F36" s="295">
        <f t="shared" si="1"/>
        <v>5</v>
      </c>
      <c r="G36" s="308" t="s">
        <v>1680</v>
      </c>
      <c r="H36" s="295">
        <f t="shared" si="2"/>
        <v>5</v>
      </c>
      <c r="I36" s="974" t="s">
        <v>1686</v>
      </c>
      <c r="J36" s="917">
        <f t="shared" si="3"/>
        <v>5</v>
      </c>
      <c r="K36" s="370"/>
      <c r="L36" s="371"/>
      <c r="M36" s="371"/>
      <c r="N36" s="371"/>
      <c r="O36" s="371"/>
      <c r="P36" s="372"/>
      <c r="Q36" s="295">
        <f t="shared" si="4"/>
        <v>5</v>
      </c>
      <c r="R36" s="370"/>
      <c r="S36" s="371"/>
      <c r="T36" s="371"/>
      <c r="U36" s="371"/>
      <c r="V36" s="371"/>
      <c r="W36" s="372"/>
      <c r="X36" s="295">
        <f t="shared" si="5"/>
        <v>5</v>
      </c>
      <c r="Y36" s="370"/>
      <c r="Z36" s="371"/>
      <c r="AA36" s="371"/>
      <c r="AB36" s="371"/>
      <c r="AC36" s="371"/>
      <c r="AD36" s="372"/>
      <c r="AE36" s="310"/>
      <c r="AF36" s="380"/>
      <c r="AG36" s="300"/>
      <c r="AH36" s="722"/>
      <c r="AI36" s="722"/>
      <c r="AJ36" s="138">
        <v>14</v>
      </c>
      <c r="AK36" s="2091"/>
      <c r="AL36" s="1111"/>
      <c r="AM36" s="1111"/>
      <c r="AN36" s="1296"/>
      <c r="AO36" s="841" t="str">
        <f>IF(Tool!$H$7="Français",
"Prot. contre le bruit",IF(Tool!$H$7="Italiano",
"Protezione fonica",
"Schallschutz"))</f>
        <v>Schallschutz</v>
      </c>
      <c r="AP36" s="1297"/>
      <c r="AQ36" s="728">
        <v>147</v>
      </c>
      <c r="AR36" s="841" t="str">
        <f>IF(Tool!$H$7="Français",
"Protection contre le bruit",IF(Tool!$H$7="Italiano",
"Protezione fonica",
"Schallschutz"))</f>
        <v>Schallschutz</v>
      </c>
      <c r="AS36" s="1118">
        <f>IF(AS177="NB",0,
IF(AS177&gt;=0.85,2,
IF(AS177&gt;=0.65,1,
IF(AS177&gt;=0.5,-1,
IF(AS177&lt;0.5,-2,0)))))</f>
        <v>0</v>
      </c>
      <c r="AT36" s="1240"/>
      <c r="AU36" s="1241"/>
      <c r="AV36" s="1241"/>
      <c r="AW36" s="1241"/>
      <c r="AX36" s="1241"/>
      <c r="AY36" s="812"/>
      <c r="AZ36" s="138"/>
      <c r="BA36" s="718" t="str">
        <f>"               "&amp;AL57</f>
        <v xml:space="preserve">               Natur &amp; Landschaft</v>
      </c>
      <c r="BB36" s="719"/>
      <c r="BC36" s="720"/>
      <c r="BH36" s="138" t="s">
        <v>2021</v>
      </c>
    </row>
    <row r="37" spans="1:60" ht="15" customHeight="1">
      <c r="A37" s="138"/>
      <c r="B37" s="295">
        <v>6</v>
      </c>
      <c r="C37" s="284" t="str">
        <f>IF(Tool!$H$7="Français",G37,IF(Tool!$H$7="Italiano",I37,E37))</f>
        <v>Auf welche Weise erfolgt die Lüftung des Gebäudes? (Bei kombinierten Systemen, bitte die Option wählen mit dem grösseren Flächenanteil)</v>
      </c>
      <c r="D37" s="295">
        <f t="shared" si="0"/>
        <v>6</v>
      </c>
      <c r="E37" s="296" t="s">
        <v>546</v>
      </c>
      <c r="F37" s="295">
        <f t="shared" si="1"/>
        <v>6</v>
      </c>
      <c r="G37" s="374" t="s">
        <v>1681</v>
      </c>
      <c r="H37" s="295">
        <f t="shared" si="2"/>
        <v>6</v>
      </c>
      <c r="I37" s="973" t="s">
        <v>1687</v>
      </c>
      <c r="J37" s="917">
        <f t="shared" si="3"/>
        <v>6</v>
      </c>
      <c r="K37" s="370"/>
      <c r="L37" s="371"/>
      <c r="M37" s="373"/>
      <c r="N37" s="373"/>
      <c r="O37" s="373"/>
      <c r="P37" s="373"/>
      <c r="Q37" s="295">
        <f t="shared" si="4"/>
        <v>6</v>
      </c>
      <c r="R37" s="471"/>
      <c r="S37" s="373"/>
      <c r="T37" s="373"/>
      <c r="U37" s="373"/>
      <c r="V37" s="373"/>
      <c r="W37" s="327"/>
      <c r="X37" s="295">
        <f t="shared" si="5"/>
        <v>6</v>
      </c>
      <c r="Y37" s="471"/>
      <c r="Z37" s="373"/>
      <c r="AA37" s="916"/>
      <c r="AB37" s="373"/>
      <c r="AC37" s="373"/>
      <c r="AD37" s="327"/>
      <c r="AE37" s="138"/>
      <c r="AF37" s="660"/>
      <c r="AG37" s="301"/>
      <c r="AH37" s="721"/>
      <c r="AI37" s="721"/>
      <c r="AJ37" s="138"/>
      <c r="AK37" s="842"/>
      <c r="AL37" s="843"/>
      <c r="AM37" s="1121"/>
      <c r="AN37" s="1121"/>
      <c r="AO37" s="1121"/>
      <c r="AP37" s="1121"/>
      <c r="AQ37" s="843"/>
      <c r="AR37" s="843"/>
      <c r="AS37" s="1121"/>
      <c r="AT37" s="1112"/>
      <c r="AU37" s="1112"/>
      <c r="AV37" s="1112"/>
      <c r="AW37" s="1113"/>
      <c r="AX37" s="1113"/>
      <c r="AY37" s="1114"/>
      <c r="AZ37" s="138"/>
      <c r="BA37" s="138"/>
      <c r="BB37" s="138"/>
      <c r="BC37" s="138"/>
      <c r="BD37" s="138"/>
      <c r="BE37" s="138"/>
      <c r="BF37" s="138"/>
      <c r="BG37" s="138"/>
      <c r="BH37" s="138" t="s">
        <v>1474</v>
      </c>
    </row>
    <row r="38" spans="1:60" ht="15" customHeight="1">
      <c r="A38" s="138"/>
      <c r="B38" s="295" t="s">
        <v>1360</v>
      </c>
      <c r="C38" s="284" t="str">
        <f>IF(Tool!$H$7="Français",G38,IF(Tool!$H$7="Italiano",I38,E38))</f>
        <v>Agglomeration &gt; Zentrum (ausserhalb der Agglomeration) &gt; Land</v>
      </c>
      <c r="D38" s="295" t="str">
        <f t="shared" si="0"/>
        <v>3b</v>
      </c>
      <c r="E38" s="308" t="s">
        <v>1361</v>
      </c>
      <c r="F38" s="295"/>
      <c r="G38" s="308" t="s">
        <v>1682</v>
      </c>
      <c r="H38" s="340"/>
      <c r="I38" s="308" t="s">
        <v>1362</v>
      </c>
      <c r="J38" s="319"/>
      <c r="K38" s="423"/>
      <c r="L38" s="424"/>
      <c r="M38" s="424"/>
      <c r="N38" s="424"/>
      <c r="O38" s="424"/>
      <c r="P38" s="422"/>
      <c r="Q38" s="300"/>
      <c r="R38" s="423"/>
      <c r="S38" s="424"/>
      <c r="T38" s="424"/>
      <c r="U38" s="424"/>
      <c r="V38" s="424"/>
      <c r="W38" s="422"/>
      <c r="X38" s="300"/>
      <c r="Y38" s="423"/>
      <c r="Z38" s="424"/>
      <c r="AA38" s="424"/>
      <c r="AB38" s="424"/>
      <c r="AC38" s="424"/>
      <c r="AD38" s="422"/>
      <c r="AE38" s="138"/>
      <c r="AF38" s="2096" t="s">
        <v>443</v>
      </c>
      <c r="AG38" s="2097"/>
      <c r="AH38" s="2097"/>
      <c r="AI38" s="2098"/>
      <c r="AJ38" s="138"/>
      <c r="AK38" s="2092" t="str">
        <f>IF(Tool!$H$7="Français",
"Économie",IF(Tool!$H$7="Italiano",
"Economia",
"Wirtschaft"))</f>
        <v>Wirtschaft</v>
      </c>
      <c r="AL38" s="806" t="str">
        <f>IF(Tool!$H$7="Français",
"Cycle de vie",IF(Tool!$H$7="Italiano",
"Ciclo di vita",
"Lebenszyklus"))</f>
        <v>Lebenszyklus</v>
      </c>
      <c r="AM38" s="490">
        <v>21</v>
      </c>
      <c r="AN38" s="1401" t="str">
        <f>IF(Tool!$H$7="Français",
"Cycle de vie et chang. clim.",IF(Tool!$H$7="Italiano",
"Ciclo di vita e camb. climatico",
"LZ-Betrachtung im Klimawandel"))</f>
        <v>LZ-Betrachtung im Klimawandel</v>
      </c>
      <c r="AO38" s="1402" t="str">
        <f>IF(Tool!$H$7="Français",
"Coûts du cycle de vie",IF(Tool!$H$7="Italiano",
"Costi del ciclo di vita",
"Lebenszykluskosten"))</f>
        <v>Lebenszykluskosten</v>
      </c>
      <c r="AP38" s="1403" t="str">
        <f>IF(Tool!$H$7="Français",
"Cycle de vie",IF(Tool!$H$7="Italiano",
"Ciclo di vita",
"Lebenszyklus"))</f>
        <v>Lebenszyklus</v>
      </c>
      <c r="AQ38" s="726">
        <v>211</v>
      </c>
      <c r="AR38" s="708" t="str">
        <f>IF(Tool!$H$7="Français",
"Coûts du cycle de vie",IF(Tool!$H$7="Italiano",
"Costi del ciclo di vita",
"Lebenszykluskosten"))</f>
        <v>Lebenszykluskosten</v>
      </c>
      <c r="AS38" s="1122">
        <f>IF(AS183="NB",0,
IF(AS183&gt;=0.85,2,
IF(AS183&gt;=0.65,1,
IF(AS183&gt;=0.5,-1,
IF(AS183&lt;0.5,-2,0)))))</f>
        <v>0</v>
      </c>
      <c r="AT38" s="1119" t="s">
        <v>517</v>
      </c>
      <c r="AU38" s="1110" t="str">
        <f>IF(Tool!$H$7="Français",
"Cycle de vie et changement climatique",IF(Tool!$H$7="Italiano",
"Ciclo di vita e cambiamento climatico",
"Lebenszyklusbetrachtung im Klimawandel"))</f>
        <v>Lebenszyklusbetrachtung im Klimawandel</v>
      </c>
      <c r="AV38" s="709">
        <f>IF(AW187="NB",0,
IF(AW187&gt;=0.85,2,
IF(AW187&gt;=0.65,1,
IF(AW187&gt;=0.5,-1,
IF(AW187&lt;0.5,-2,0)))))</f>
        <v>0</v>
      </c>
      <c r="AW38" s="709"/>
      <c r="AX38" s="649"/>
      <c r="AY38" s="650"/>
      <c r="AZ38" s="138"/>
      <c r="BA38" s="718" t="str">
        <f>IF(Tool!$H$7="Français",
"QUALITÉ DU DÉVELOPPEMENT",IF(Tool!$H$7="Italiano",
"QUALITÀ DELLO SVILUPPO",
"QUALITÄT DER ENTWICKLUNG"))</f>
        <v>QUALITÄT DER ENTWICKLUNG</v>
      </c>
      <c r="BB38" s="719"/>
      <c r="BC38" s="720"/>
      <c r="BH38" s="138" t="s">
        <v>1475</v>
      </c>
    </row>
    <row r="39" spans="1:60" ht="15" customHeight="1">
      <c r="A39" s="138"/>
      <c r="B39" s="295"/>
      <c r="C39" s="284" t="str">
        <f>IF(Tool!$H$7="Français",G39,IF(Tool!$H$7="Italiano",I39,E39))</f>
        <v>SNBS-HOCHBAU</v>
      </c>
      <c r="D39" s="300"/>
      <c r="E39" s="296" t="s">
        <v>1353</v>
      </c>
      <c r="F39" s="295"/>
      <c r="G39" s="375" t="s">
        <v>1355</v>
      </c>
      <c r="H39" s="802"/>
      <c r="I39" s="802" t="s">
        <v>1356</v>
      </c>
      <c r="J39" s="319"/>
      <c r="K39" s="423"/>
      <c r="L39" s="424"/>
      <c r="M39" s="424"/>
      <c r="N39" s="424"/>
      <c r="O39" s="424"/>
      <c r="P39" s="422"/>
      <c r="Q39" s="300"/>
      <c r="R39" s="423"/>
      <c r="S39" s="424"/>
      <c r="T39" s="424"/>
      <c r="U39" s="424"/>
      <c r="V39" s="424"/>
      <c r="W39" s="422"/>
      <c r="X39" s="300"/>
      <c r="Y39" s="423"/>
      <c r="Z39" s="424"/>
      <c r="AA39" s="424"/>
      <c r="AB39" s="424"/>
      <c r="AC39" s="424"/>
      <c r="AD39" s="422"/>
      <c r="AE39" s="138"/>
      <c r="AF39" s="393" t="s">
        <v>230</v>
      </c>
      <c r="AG39" s="394" t="s">
        <v>35</v>
      </c>
      <c r="AH39" s="724" t="s">
        <v>32</v>
      </c>
      <c r="AI39" s="725"/>
      <c r="AJ39" s="138"/>
      <c r="AK39" s="2092"/>
      <c r="AL39" s="706"/>
      <c r="AM39" s="491"/>
      <c r="AN39" s="1110" t="str">
        <f>IF(Tool!$H$7="Français",
"Site &amp; changement climat.",IF(Tool!$H$7="Italiano",
"Sito e cambiamento climatico",
"Standort &amp; Klimawandel"))</f>
        <v>Standort &amp; Klimawandel</v>
      </c>
      <c r="AO39" s="489" t="str">
        <f>IF(Tool!$H$7="Français",
"Planif. &amp; réal. pour une expl. Opt.",IF(Tool!$H$7="Italiano",
"Pianif. e realiz. orientati alla gest.",
"Bewirtschaftungsgerechte P &amp; R"))</f>
        <v>Bewirtschaftungsgerechte P &amp; R</v>
      </c>
      <c r="AP39" s="706"/>
      <c r="AQ39" s="727">
        <v>212</v>
      </c>
      <c r="AR39" s="489" t="str">
        <f>IF(Tool!$H$7="Français",
"Planification &amp; réalisation pour une exploitation optimale",IF(Tool!$H$7="Italiano",
"Pianificazione e realizzazione orientati alla gestione",
"Bewirtschaftungsgerechte Planung &amp; Realisierung"))</f>
        <v>Bewirtschaftungsgerechte Planung &amp; Realisierung</v>
      </c>
      <c r="AS39" s="114">
        <f>IF(AS191="NB",0,
IF(AS191&gt;=0.85,2,
IF(AS191&gt;=0.65,1,
IF(AS191&gt;=0.5,-1,
IF(AS191&lt;0.5,-2,0)))))</f>
        <v>0</v>
      </c>
      <c r="AT39" s="1115" t="s">
        <v>523</v>
      </c>
      <c r="AU39" s="1110" t="str">
        <f>IF(Tool!$H$7="Français",
"Site &amp; changement climatique",IF(Tool!$H$7="Italiano",
"Sito e cambiamento climatico",
"Standort &amp; Klimawandel"))</f>
        <v>Standort &amp; Klimawandel</v>
      </c>
      <c r="AV39" s="651">
        <f>IF(AW206="NB",0,
IF(AW206&gt;=0.85,2,
IF(AW206&gt;=0.65,1,
IF(AW206&gt;=0.5,-1,
IF(AW206&lt;0.5,-2,0)))))</f>
        <v>0</v>
      </c>
      <c r="AW39" s="651"/>
      <c r="AX39" s="2"/>
      <c r="AY39" s="114"/>
      <c r="AZ39" s="138"/>
      <c r="BA39" s="718" t="str">
        <f>IF(Tool!$H$7="Français",
"ACCESSIBILITÉ &amp; COMMODITÉS",IF(Tool!$H$7="Italiano",
"OFFERTA E RAGGIUNGIBILITÀ",
"ANGEBOT &amp; ERREICHBARKEIT"))</f>
        <v>ANGEBOT &amp; ERREICHBARKEIT</v>
      </c>
      <c r="BB39" s="719"/>
      <c r="BC39" s="720"/>
      <c r="BH39" s="138" t="s">
        <v>1476</v>
      </c>
    </row>
    <row r="40" spans="1:60" ht="15" customHeight="1">
      <c r="A40" s="138"/>
      <c r="B40" s="295"/>
      <c r="C40" s="284" t="str">
        <f>IF(Tool!$H$7="Français",G40,IF(Tool!$H$7="Italiano",I40,E40))</f>
        <v>Version 2023.1</v>
      </c>
      <c r="D40" s="300"/>
      <c r="E40" s="296" t="s">
        <v>1354</v>
      </c>
      <c r="F40" s="295"/>
      <c r="G40" s="296" t="s">
        <v>1354</v>
      </c>
      <c r="H40" s="375"/>
      <c r="I40" s="296" t="s">
        <v>1357</v>
      </c>
      <c r="J40" s="319"/>
      <c r="K40" s="423"/>
      <c r="L40" s="424"/>
      <c r="M40" s="424"/>
      <c r="N40" s="424"/>
      <c r="O40" s="424"/>
      <c r="P40" s="422"/>
      <c r="Q40" s="300"/>
      <c r="R40" s="423"/>
      <c r="S40" s="424"/>
      <c r="T40" s="424"/>
      <c r="U40" s="424"/>
      <c r="V40" s="424"/>
      <c r="W40" s="422"/>
      <c r="X40" s="300"/>
      <c r="Y40" s="423"/>
      <c r="Z40" s="424"/>
      <c r="AA40" s="424"/>
      <c r="AB40" s="424"/>
      <c r="AC40" s="424"/>
      <c r="AD40" s="422"/>
      <c r="AE40" s="138"/>
      <c r="AF40" s="379">
        <v>1</v>
      </c>
      <c r="AG40" s="299">
        <f>IF(OR(AG25=AF4,AG25=AF5),Check!S117,0)</f>
        <v>0</v>
      </c>
      <c r="AH40" s="722" t="s">
        <v>548</v>
      </c>
      <c r="AI40" s="723"/>
      <c r="AJ40" s="138"/>
      <c r="AK40" s="2092"/>
      <c r="AL40" s="706"/>
      <c r="AM40" s="491"/>
      <c r="AN40" s="1110" t="str">
        <f>IF(Tool!$H$7="Français",
"Flexibilité climat. &amp; aptit. utilisation",IF(Tool!$H$7="Italiano",
"Flessibilità al clima e fruibilità",
"Klima-Flexibilität &amp; Gebrauchstaugl."))</f>
        <v>Klima-Flexibilität &amp; Gebrauchstaugl.</v>
      </c>
      <c r="AO40" s="489" t="str">
        <f>IF(Tool!$H$7="Français",
"Démontabilité &amp; réemploi",IF(Tool!$H$7="Italiano",
"Smontaggio e riuso",
"Wiederverwendung &amp; Systemtr."))</f>
        <v>Wiederverwendung &amp; Systemtr.</v>
      </c>
      <c r="AP40" s="706"/>
      <c r="AQ40" s="727">
        <v>213</v>
      </c>
      <c r="AR40" s="489" t="str">
        <f>IF(Tool!$H$7="Français",
"Démontabilité &amp; réemploi",IF(Tool!$H$7="Italiano",
"Smontaggio e riuso",
"Wiederverwendung &amp; Systemtrennung"))</f>
        <v>Wiederverwendung &amp; Systemtrennung</v>
      </c>
      <c r="AS40" s="114">
        <f>IF(AS196="NB",0,
IF(AS196&gt;=0.85,2,
IF(AS196&gt;=0.65,1,
IF(AS196&gt;=0.5,-1,
IF(AS196&lt;0.5,-2,0)))))</f>
        <v>0</v>
      </c>
      <c r="AT40" s="1115" t="s">
        <v>524</v>
      </c>
      <c r="AU40" s="1110" t="str">
        <f>IF(Tool!$H$7="Français",
"Flexibilité climatique &amp; aptitude à l’utilisation",IF(Tool!$H$7="Italiano",
"Flessibilità al clima e fruibilità",
"Klima-Flexibilität &amp; Gebrauchstauglichkeit"))</f>
        <v>Klima-Flexibilität &amp; Gebrauchstauglichkeit</v>
      </c>
      <c r="AV40" s="651">
        <f>IF(AW218="NB",0,
IF(AW218&gt;=0.85,2,
IF(AW218&gt;=0.65,1,
IF(AW218&gt;=0.5,-1,
IF(AW218&lt;0.5,-2,0)))))</f>
        <v>0</v>
      </c>
      <c r="AW40" s="651"/>
      <c r="AX40" s="2"/>
      <c r="AY40" s="114"/>
      <c r="AZ40" s="138"/>
      <c r="BA40" s="718" t="str">
        <f>IF(Tool!$H$7="Français",
"QUALITÉ D’USAGE",IF(Tool!$H$7="Italiano",
"QUALITÀ DI UTILIZZO",
"GEBRAUCHSQUALITÄT"))</f>
        <v>GEBRAUCHSQUALITÄT</v>
      </c>
      <c r="BB40" s="719"/>
      <c r="BC40" s="720"/>
      <c r="BH40" s="138"/>
    </row>
    <row r="41" spans="1:60" ht="15" customHeight="1">
      <c r="A41" s="138"/>
      <c r="B41" s="295"/>
      <c r="C41" s="296"/>
      <c r="D41" s="300"/>
      <c r="E41" s="296"/>
      <c r="F41" s="295"/>
      <c r="G41" s="296"/>
      <c r="H41" s="375"/>
      <c r="I41" s="375"/>
      <c r="J41" s="319"/>
      <c r="K41" s="423"/>
      <c r="L41" s="424"/>
      <c r="M41" s="424"/>
      <c r="N41" s="424"/>
      <c r="O41" s="424"/>
      <c r="P41" s="422"/>
      <c r="Q41" s="300"/>
      <c r="R41" s="423"/>
      <c r="S41" s="424"/>
      <c r="T41" s="424"/>
      <c r="U41" s="424"/>
      <c r="V41" s="424"/>
      <c r="W41" s="422"/>
      <c r="X41" s="300"/>
      <c r="Y41" s="423"/>
      <c r="Z41" s="424"/>
      <c r="AA41" s="424"/>
      <c r="AB41" s="424"/>
      <c r="AC41" s="424"/>
      <c r="AD41" s="422"/>
      <c r="AE41" s="138"/>
      <c r="AF41" s="380" t="s">
        <v>603</v>
      </c>
      <c r="AG41" s="300">
        <f>IF(OR(AG25=AF6,AG25=AF7),Check!S117,0)</f>
        <v>0</v>
      </c>
      <c r="AH41" s="722" t="s">
        <v>549</v>
      </c>
      <c r="AI41" s="723"/>
      <c r="AJ41" s="138"/>
      <c r="AK41" s="2092"/>
      <c r="AL41" s="807" t="str">
        <f>IF(Tool!$H$7="Français",
"Potentiel d’utilisation du bâtiment 
&amp; de son emplacement",IF(Tool!$H$7="Italiano",
"Fruibilità",
"Nutzbarkeit"))</f>
        <v>Nutzbarkeit</v>
      </c>
      <c r="AM41" s="491">
        <v>22</v>
      </c>
      <c r="AN41" s="1292"/>
      <c r="AO41" s="489" t="str">
        <f>IF(Tool!$H$7="Français",
"Dangers naturels",IF(Tool!$H$7="Italiano",
"Rischi naturali",
"Naturgefahren"))</f>
        <v>Naturgefahren</v>
      </c>
      <c r="AP41" s="807" t="str">
        <f>IF(Tool!$H$7="Français",
"Potentiel d’utilisation du bâtiment &amp; de son emplacement",IF(Tool!$H$7="Italiano",
"Fruibilità",
"Nutzbarkeit"))</f>
        <v>Nutzbarkeit</v>
      </c>
      <c r="AQ41" s="727">
        <v>221</v>
      </c>
      <c r="AR41" s="489" t="str">
        <f>IF(Tool!$H$7="Français",
"Dangers naturels",IF(Tool!$H$7="Italiano",
"Rischi naturali",
"Naturgefahren"))</f>
        <v>Naturgefahren</v>
      </c>
      <c r="AS41" s="114">
        <f>IF(AS201="NB",0,
IF(AS201&gt;=0.85,2,
IF(AS201&gt;=0.65,1,
IF(AS201&gt;=0.5,-1,
IF(AS201&lt;0.5,-2,0)))))</f>
        <v>0</v>
      </c>
      <c r="AT41" s="1115"/>
      <c r="AU41" s="2"/>
      <c r="AV41" s="651"/>
      <c r="AW41" s="651"/>
      <c r="AX41" s="2"/>
      <c r="AY41" s="114"/>
      <c r="AZ41" s="138"/>
      <c r="BA41" s="718" t="str">
        <f>IF(Tool!$H$7="Français",
"BIEN-ÊTRE &amp; SANTÉ",IF(Tool!$H$7="Italiano",
"BENESSERE E SALUTE",
"WOHLBEFINDEN &amp; GESUNDHEIT"))</f>
        <v>WOHLBEFINDEN &amp; GESUNDHEIT</v>
      </c>
      <c r="BB41" s="719"/>
      <c r="BC41" s="720"/>
      <c r="BH41" s="138"/>
    </row>
    <row r="42" spans="1:60" ht="15" customHeight="1">
      <c r="A42" s="138"/>
      <c r="B42" s="295"/>
      <c r="C42" s="296"/>
      <c r="D42" s="300"/>
      <c r="E42" s="296"/>
      <c r="F42" s="295"/>
      <c r="G42" s="340"/>
      <c r="H42" s="340"/>
      <c r="I42" s="340"/>
      <c r="J42" s="319"/>
      <c r="K42" s="423"/>
      <c r="L42" s="424"/>
      <c r="M42" s="424"/>
      <c r="N42" s="424"/>
      <c r="O42" s="424"/>
      <c r="P42" s="422"/>
      <c r="Q42" s="300"/>
      <c r="R42" s="423"/>
      <c r="S42" s="424"/>
      <c r="T42" s="424"/>
      <c r="U42" s="424"/>
      <c r="V42" s="424"/>
      <c r="W42" s="422"/>
      <c r="X42" s="300"/>
      <c r="Y42" s="423"/>
      <c r="Z42" s="424"/>
      <c r="AA42" s="424"/>
      <c r="AB42" s="424"/>
      <c r="AC42" s="424"/>
      <c r="AD42" s="422"/>
      <c r="AE42" s="138"/>
      <c r="AF42" s="380" t="s">
        <v>33</v>
      </c>
      <c r="AG42" s="300">
        <f>Check!S120</f>
        <v>0</v>
      </c>
      <c r="AH42" s="723" t="s">
        <v>550</v>
      </c>
      <c r="AI42" s="723"/>
      <c r="AJ42" s="138"/>
      <c r="AK42" s="2092"/>
      <c r="AL42" s="706"/>
      <c r="AM42" s="491"/>
      <c r="AN42" s="1292"/>
      <c r="AO42" s="489" t="str">
        <f>IF(Tool!$H$7="Français",
"Densité d’occupation",IF(Tool!$H$7="Italiano",
"Densità di occupazione",
"Nutzungsdichte"))</f>
        <v>Nutzungsdichte</v>
      </c>
      <c r="AP42" s="706"/>
      <c r="AQ42" s="727">
        <v>222</v>
      </c>
      <c r="AR42" s="489" t="str">
        <f>IF(Tool!$H$7="Français",
"Densité d’occupation",IF(Tool!$H$7="Italiano",
"Densità di occupazione",
"Nutzungsdichte"))</f>
        <v>Nutzungsdichte</v>
      </c>
      <c r="AS42" s="114">
        <f>IF(AS210="NB",0,
IF(AS210&gt;=0.85,2,
IF(AS210&gt;=0.65,1,
IF(AS210&gt;=0.5,-1,
IF(AS210&lt;0.5,-2,0)))))</f>
        <v>0</v>
      </c>
      <c r="AT42" s="1115"/>
      <c r="AU42" s="2"/>
      <c r="AV42" s="651"/>
      <c r="AW42" s="651"/>
      <c r="AX42" s="2"/>
      <c r="AY42" s="114"/>
      <c r="AZ42" s="138"/>
      <c r="BA42" s="718" t="str">
        <f>IF(Tool!$H$7="Français",
"CYCLE DE VIE",IF(Tool!$H$7="Italiano",
"CICLO DI VITA",
"LEBENSZYKLUS"))</f>
        <v>LEBENSZYKLUS</v>
      </c>
      <c r="BB42" s="719"/>
      <c r="BC42" s="720"/>
      <c r="BH42" s="138"/>
    </row>
    <row r="43" spans="1:60" ht="15" customHeight="1">
      <c r="A43" s="138"/>
      <c r="B43" s="297"/>
      <c r="C43" s="298"/>
      <c r="D43" s="301"/>
      <c r="E43" s="298"/>
      <c r="F43" s="297"/>
      <c r="G43" s="376"/>
      <c r="H43" s="376"/>
      <c r="I43" s="376"/>
      <c r="J43" s="320"/>
      <c r="K43" s="423"/>
      <c r="L43" s="424"/>
      <c r="M43" s="424"/>
      <c r="N43" s="424"/>
      <c r="O43" s="424"/>
      <c r="P43" s="422"/>
      <c r="Q43" s="301"/>
      <c r="R43" s="423"/>
      <c r="S43" s="424"/>
      <c r="T43" s="424"/>
      <c r="U43" s="424"/>
      <c r="V43" s="427"/>
      <c r="W43" s="428"/>
      <c r="X43" s="301"/>
      <c r="Y43" s="423"/>
      <c r="Z43" s="424"/>
      <c r="AA43" s="424"/>
      <c r="AB43" s="424"/>
      <c r="AC43" s="427"/>
      <c r="AD43" s="428"/>
      <c r="AE43" s="138"/>
      <c r="AF43" s="380"/>
      <c r="AG43" s="300"/>
      <c r="AH43" s="723"/>
      <c r="AI43" s="723"/>
      <c r="AJ43" s="138"/>
      <c r="AK43" s="2092"/>
      <c r="AL43" s="707"/>
      <c r="AM43" s="491"/>
      <c r="AN43" s="1292"/>
      <c r="AO43" s="489" t="str">
        <f>IF(Tool!$H$7="Français",
"Flexibilité &amp; variabilité d’affect.",IF(Tool!$H$7="Italiano",
"Flessibilità d’uso e polivalenza",
"Nutzungsflexib. &amp; -variabilität"))</f>
        <v>Nutzungsflexib. &amp; -variabilität</v>
      </c>
      <c r="AP43" s="707"/>
      <c r="AQ43" s="727">
        <v>223</v>
      </c>
      <c r="AR43" s="489" t="str">
        <f>IF(Tool!$H$7="Français",
"Flexibilité &amp; variabilité d’affectation",IF(Tool!$H$7="Italiano",
"Flessibilità d’uso e polivalenza",
"Nutzungsflexibilität &amp; -variabilität"))</f>
        <v>Nutzungsflexibilität &amp; -variabilität</v>
      </c>
      <c r="AS43" s="114">
        <f>IF(AS214="NB",0,
IF(AS214&gt;=0.85,2,
IF(AS214&gt;=0.65,1,
IF(AS214&gt;=0.5,-1,
IF(AS214&lt;0.5,-2,0)))))</f>
        <v>0</v>
      </c>
      <c r="AT43" s="1120"/>
      <c r="AU43" s="65"/>
      <c r="AV43" s="652"/>
      <c r="AW43" s="652"/>
      <c r="AX43" s="65"/>
      <c r="AY43" s="115"/>
      <c r="AZ43" s="138"/>
      <c r="BA43" s="718" t="str">
        <f>IF(Tool!$H$7="Français",
"POTENTIEL D’UTILISATION DU BÂTIMENT &amp; DE SON EMPLACEMENT",IF(Tool!$H$7="Italiano",
"FRUIBILITÀ",
"NUTZBARKEIT"))</f>
        <v>NUTZBARKEIT</v>
      </c>
      <c r="BB43" s="719"/>
      <c r="BC43" s="720"/>
      <c r="BH43" s="138"/>
    </row>
    <row r="44" spans="1:60" ht="15" customHeight="1">
      <c r="A44" s="138"/>
      <c r="B44" s="302"/>
      <c r="C44" s="416" t="str">
        <f>IF(Tool!$H$7="Français",G44,IF(Tool!$H$7="Italiano",I44,E44))</f>
        <v>Themenübergeordnete Fragen</v>
      </c>
      <c r="D44" s="302"/>
      <c r="E44" s="294" t="s">
        <v>14</v>
      </c>
      <c r="F44" s="299"/>
      <c r="G44" s="377" t="s">
        <v>601</v>
      </c>
      <c r="H44" s="377"/>
      <c r="I44" s="377" t="s">
        <v>600</v>
      </c>
      <c r="J44" s="332"/>
      <c r="K44" s="752" t="str">
        <f>E44</f>
        <v>Themenübergeordnete Fragen</v>
      </c>
      <c r="L44" s="753"/>
      <c r="M44" s="753"/>
      <c r="N44" s="753"/>
      <c r="O44" s="753"/>
      <c r="P44" s="754"/>
      <c r="Q44" s="302"/>
      <c r="R44" s="752" t="str">
        <f>G44</f>
        <v>Questions transversales</v>
      </c>
      <c r="S44" s="753"/>
      <c r="T44" s="753"/>
      <c r="U44" s="753"/>
      <c r="V44" s="753"/>
      <c r="W44" s="904"/>
      <c r="X44" s="302"/>
      <c r="Y44" s="2069" t="str">
        <f>I44</f>
        <v>Domande trasversali</v>
      </c>
      <c r="Z44" s="2070"/>
      <c r="AA44" s="2070"/>
      <c r="AB44" s="2070"/>
      <c r="AC44" s="2070"/>
      <c r="AD44" s="2071"/>
      <c r="AE44" s="138"/>
      <c r="AF44" s="381"/>
      <c r="AG44" s="301"/>
      <c r="AH44" s="723"/>
      <c r="AI44" s="723"/>
      <c r="AJ44" s="138"/>
      <c r="AK44" s="2092"/>
      <c r="AL44" s="807" t="str">
        <f>IF(Tool!$H$7="Français",
"Économie régionale",IF(Tool!$H$7="Italiano",
"Economia regionale",
"Regionalökonomie"))</f>
        <v>Regionalökonomie</v>
      </c>
      <c r="AM44" s="491">
        <v>23</v>
      </c>
      <c r="AN44" s="1299"/>
      <c r="AO44" s="489" t="str">
        <f>IF(Tool!$H$7="Français",
"Création de valeur régionale",IF(Tool!$H$7="Italiano",
"Creazione di valore aggiunto regionale",
"Regionale Wertschöpfung"))</f>
        <v>Regionale Wertschöpfung</v>
      </c>
      <c r="AP44" s="807" t="str">
        <f>IF(Tool!$H$7="Français",
"Économie régionale",IF(Tool!$H$7="Italiano",
"Economia regionale",
"Regionalökonomie"))</f>
        <v>Regionalökonomie</v>
      </c>
      <c r="AQ44" s="727">
        <v>231</v>
      </c>
      <c r="AR44" s="489" t="str">
        <f>IF(Tool!$H$7="Français",
"Création de valeur régionale",IF(Tool!$H$7="Italiano",
"Creazione di valore aggiunto regionale",
"Regionale Wertschöpfung"))</f>
        <v>Regionale Wertschöpfung</v>
      </c>
      <c r="AS44" s="1118">
        <f>IF(AS222="NB",0,
IF(AS222&gt;=0.85,2,
IF(AS222&gt;=0.65,1,
IF(AS222&gt;=0.5,-1,
IF(AS222&lt;0.5,-2,0)))))</f>
        <v>0</v>
      </c>
      <c r="AT44" s="1120"/>
      <c r="AU44" s="65"/>
      <c r="AV44" s="652"/>
      <c r="AW44" s="652"/>
      <c r="AX44" s="65"/>
      <c r="AY44" s="115"/>
      <c r="AZ44" s="138"/>
      <c r="BA44" s="718" t="str">
        <f>IF(Tool!$H$7="Français",
"ÉCONOMIE RÉGIONALE",IF(Tool!$H$7="Italiano",
"ECONOMIA REGIONALE",
"REGIONALÖKONOMIE"))</f>
        <v>REGIONALÖKONOMIE</v>
      </c>
      <c r="BB44" s="719"/>
      <c r="BC44" s="720"/>
      <c r="BH44" s="138"/>
    </row>
    <row r="45" spans="1:60" ht="15" customHeight="1">
      <c r="A45" s="138"/>
      <c r="B45" s="302"/>
      <c r="C45" s="284" t="str">
        <f>IF(Tool!$H$7="Français",G45,IF(Tool!$H$7="Italiano",I45,E45))</f>
        <v>Diese übergeordneten Fragen decken mehrere Kriterien, teilweise auch aus verschiedenen Themenbereichen ab.</v>
      </c>
      <c r="D45" s="302"/>
      <c r="E45" s="296" t="s">
        <v>2011</v>
      </c>
      <c r="F45" s="300"/>
      <c r="G45" s="340" t="s">
        <v>2005</v>
      </c>
      <c r="H45" s="340"/>
      <c r="I45" s="340" t="s">
        <v>2018</v>
      </c>
      <c r="J45" s="917"/>
      <c r="K45" s="423"/>
      <c r="L45" s="424"/>
      <c r="M45" s="424"/>
      <c r="N45" s="424"/>
      <c r="O45" s="424"/>
      <c r="P45" s="422"/>
      <c r="Q45" s="302"/>
      <c r="R45" s="423"/>
      <c r="S45" s="424"/>
      <c r="T45" s="424"/>
      <c r="U45" s="424"/>
      <c r="V45" s="421"/>
      <c r="W45" s="425"/>
      <c r="X45" s="302"/>
      <c r="Y45" s="423"/>
      <c r="Z45" s="424"/>
      <c r="AA45" s="424"/>
      <c r="AB45" s="424"/>
      <c r="AC45" s="421"/>
      <c r="AD45" s="425"/>
      <c r="AE45" s="138"/>
      <c r="AF45" s="2096"/>
      <c r="AG45" s="2097"/>
      <c r="AH45" s="2097"/>
      <c r="AI45" s="2098"/>
      <c r="AJ45" s="138"/>
      <c r="AK45" s="842"/>
      <c r="AL45" s="843"/>
      <c r="AM45" s="843"/>
      <c r="AN45" s="1113"/>
      <c r="AO45" s="843"/>
      <c r="AP45" s="1298"/>
      <c r="AQ45" s="843"/>
      <c r="AR45" s="843"/>
      <c r="AS45" s="1121"/>
      <c r="AT45" s="844"/>
      <c r="AU45" s="844"/>
      <c r="AV45" s="843"/>
      <c r="AW45" s="843"/>
      <c r="AX45" s="843"/>
      <c r="AY45" s="845"/>
      <c r="AZ45" s="138"/>
      <c r="BA45" s="718"/>
      <c r="BB45" s="719"/>
      <c r="BC45" s="720"/>
      <c r="BH45" s="138"/>
    </row>
    <row r="46" spans="1:60" ht="15" customHeight="1">
      <c r="A46" s="138"/>
      <c r="B46" s="304">
        <v>1</v>
      </c>
      <c r="C46" s="284" t="str">
        <f>IF(Tool!$H$7="Français",G46,IF(Tool!$H$7="Italiano",I46,E46))</f>
        <v>Wird das Gebäude nach Minergie-(A/P)-ECO® Standard gebaut? (Anforderungen an Heizwärmebedarf, Endenergiebedarf, Eigenstromerzeugung, Sommerlicher Wärmeschutz)</v>
      </c>
      <c r="D46" s="302">
        <f>$B46</f>
        <v>1</v>
      </c>
      <c r="E46" s="296" t="str">
        <f>IF($AG$25=$AF$6,K46,"Wird das Gebäude nach Minergie-(A/P)-ECO® Standard gebaut? (Anforderungen an Heizwärmebedarf, Endenergiebedarf, Eigenstromerzeugung, Sommerlicher Wärmeschutz)")</f>
        <v>Wird das Gebäude nach Minergie-(A/P)-ECO® Standard gebaut? (Anforderungen an Heizwärmebedarf, Endenergiebedarf, Eigenstromerzeugung, Sommerlicher Wärmeschutz)</v>
      </c>
      <c r="F46" s="881">
        <f>$B46</f>
        <v>1</v>
      </c>
      <c r="G46" s="340" t="str">
        <f>IF($AG$25=$AF$6,R46,"Est-il prévu de construire le bâtiment selon le standard Minergie-(A/P)-ECO® ? (Exigences en matière de besoins en chaleur de chauffage, de besoins en énergie finale, d'autoproduction d’électricité, de protection thermique estivale)")</f>
        <v>Est-il prévu de construire le bâtiment selon le standard Minergie-(A/P)-ECO® ? (Exigences en matière de besoins en chaleur de chauffage, de besoins en énergie finale, d'autoproduction d’électricité, de protection thermique estivale)</v>
      </c>
      <c r="H46" s="1594">
        <f>$B46</f>
        <v>1</v>
      </c>
      <c r="I46" s="340" t="str">
        <f>IF($AG$25=$AF$6,Y46,"È prevista la costruzione dell'edificio secondo lo standard Minergie-(A/P)-ECO®? (Requisiti per il fabbisogno di energia  per l'utilizzo del calore per il riscaldamento, l'energia finale, la produzione di energia propria, la protezione termica estiva)")</f>
        <v>È prevista la costruzione dell'edificio secondo lo standard Minergie-(A/P)-ECO®? (Requisiti per il fabbisogno di energia  per l'utilizzo del calore per il riscaldamento, l'energia finale, la produzione di energia propria, la protezione termica estiva)</v>
      </c>
      <c r="J46" s="917">
        <f>B46</f>
        <v>1</v>
      </c>
      <c r="K46" s="423" t="s">
        <v>643</v>
      </c>
      <c r="L46" s="424"/>
      <c r="M46" s="424"/>
      <c r="N46" s="424"/>
      <c r="O46" s="424"/>
      <c r="P46" s="422"/>
      <c r="Q46" s="295">
        <f>B46</f>
        <v>1</v>
      </c>
      <c r="R46" s="423" t="s">
        <v>647</v>
      </c>
      <c r="S46" s="424"/>
      <c r="T46" s="424"/>
      <c r="U46" s="424"/>
      <c r="V46" s="424"/>
      <c r="W46" s="422"/>
      <c r="X46" s="295">
        <f>B46</f>
        <v>1</v>
      </c>
      <c r="Y46" s="423" t="s">
        <v>645</v>
      </c>
      <c r="Z46" s="424"/>
      <c r="AA46" s="424"/>
      <c r="AB46" s="424"/>
      <c r="AC46" s="424"/>
      <c r="AD46" s="422"/>
      <c r="AE46" s="138"/>
      <c r="AF46" s="746"/>
      <c r="AG46" s="746"/>
      <c r="AH46" s="746"/>
      <c r="AI46" s="746"/>
      <c r="AJ46" s="138"/>
      <c r="AK46" s="2093" t="str">
        <f>IF(Tool!$H$7="Français",
"Environnement",IF(Tool!$H$7="Italiano",
"Ambiente",
"Umwelt"))</f>
        <v>Umwelt</v>
      </c>
      <c r="AL46" s="804" t="str">
        <f>IF(Tool!$H$7="Français",
"Protection du climat",IF(Tool!$H$7="Italiano",
"Protezione del clima",
"Klimaschutz"))</f>
        <v>Klimaschutz</v>
      </c>
      <c r="AM46" s="490">
        <v>31</v>
      </c>
      <c r="AN46" s="1110" t="str">
        <f>IF(Tool!$H$7="Français",
"EGES et Énergie dans le chang. clim.",IF(Tool!$H$7="Italiano",
"EGES e Energia col camb. clim.",
"THGE im Klimawandel"))</f>
        <v>THGE im Klimawandel</v>
      </c>
      <c r="AO46" s="487" t="str">
        <f>IF(Tool!$H$7="Français",
"EGES de la construction",IF(Tool!$H$7="Italiano",
"EGES - realizzazione",
"THGE Erstellung"))</f>
        <v>THGE Erstellung</v>
      </c>
      <c r="AP46" s="804" t="str">
        <f>IF(Tool!$H$7="Français",
"Protection du climat",IF(Tool!$H$7="Italiano",
"Protezione del clima",
"Klimaschutz"))</f>
        <v>Klimaschutz</v>
      </c>
      <c r="AQ46" s="729">
        <v>311</v>
      </c>
      <c r="AR46" s="487" t="str">
        <f>IF(Tool!$H$7="Français",
"Émissions de gaz à effet de serre de la construction",IF(Tool!$H$7="Italiano",
"Emissioni di gas effetto serra - realizzazione",
"Treibhausgasemissionen Erstellung"))</f>
        <v>Treibhausgasemissionen Erstellung</v>
      </c>
      <c r="AS46" s="1122">
        <f>IF(AS224="NB",0,
IF(AS224&gt;=0.85,2,
IF(AS224&gt;=0.65,1,
IF(AS224&gt;=0.5,-1,
IF(AS224&lt;0.5,-2,0)))))</f>
        <v>0</v>
      </c>
      <c r="AT46" s="1115" t="s">
        <v>1471</v>
      </c>
      <c r="AU46" s="1110" t="str">
        <f>IF(Tool!$H$7="Français",
"EGES et Énergie dans le changement climatique",IF(Tool!$H$7="Italiano",
"EGES e Energia col cambiamento climatico",
"THGE im Klimawandel"))</f>
        <v>THGE im Klimawandel</v>
      </c>
      <c r="AV46" s="709">
        <f>IF(AW245="NB",0,
IF(AW245&gt;=0.85,2,
IF(AW245&gt;=0.65,1,
IF(AW245&gt;=0.5,-1,
IF(AW245&lt;0.5,-2,0)))))</f>
        <v>0</v>
      </c>
      <c r="AW46" s="1115" t="s">
        <v>1440</v>
      </c>
      <c r="AX46" s="1110" t="str">
        <f>IF(Tool!$H$7="Français",
"EGES et Énergie dans le changement climatique",IF(Tool!$H$7="Italiano",
"EGES e energia col cambiamento climatico",
"THGE und Energie im Klimawandel"))</f>
        <v>THGE und Energie im Klimawandel</v>
      </c>
      <c r="AY46" s="650"/>
      <c r="AZ46" s="810"/>
      <c r="BA46" s="718" t="str">
        <f>IF(Tool!$H$7="Français",
"PROTECTION DU CLIMAT",IF(Tool!$H$7="Italiano",
"PROTEZIONE DEL CLIMA",
"KLIMASCHUTZ"))</f>
        <v>KLIMASCHUTZ</v>
      </c>
      <c r="BB46" s="719"/>
      <c r="BC46" s="720"/>
      <c r="BH46" s="138"/>
    </row>
    <row r="47" spans="1:60" ht="15" customHeight="1">
      <c r="A47" s="138"/>
      <c r="B47" s="302"/>
      <c r="C47" s="284" t="str">
        <f>IF(Tool!$H$7="Français",G47,IF(Tool!$H$7="Italiano",I47,E47))</f>
        <v>Wird das Gebäude nach Minergie-(A/P)® Standard gebaut? (Anforderungen an Heizwärmebedarf, Endenergiebedarf, Eigenstromerzeugung, Sommerlicher Wärmeschutz)</v>
      </c>
      <c r="D47" s="302"/>
      <c r="E47" s="296" t="str">
        <f>IF($AG$25=$AF$6,K47,"Wird das Gebäude nach Minergie-(A/P)® Standard gebaut? (Anforderungen an Heizwärmebedarf, Endenergiebedarf, Eigenstromerzeugung, Sommerlicher Wärmeschutz)")</f>
        <v>Wird das Gebäude nach Minergie-(A/P)® Standard gebaut? (Anforderungen an Heizwärmebedarf, Endenergiebedarf, Eigenstromerzeugung, Sommerlicher Wärmeschutz)</v>
      </c>
      <c r="F47" s="924">
        <f>$B47</f>
        <v>0</v>
      </c>
      <c r="G47" s="340" t="str">
        <f>IF($AG$25=$AF$6,R47,"Est-il prévu de construire le bâtiment selon le standard Minergie-(A/P)® ? (Exigences en matière de besoins en chaleur de chauffage, de besoins en énergie finale, d'autoproduction d’électricité, de protection thermique estivale)")</f>
        <v>Est-il prévu de construire le bâtiment selon le standard Minergie-(A/P)® ? (Exigences en matière de besoins en chaleur de chauffage, de besoins en énergie finale, d'autoproduction d’électricité, de protection thermique estivale)</v>
      </c>
      <c r="H47" s="1595">
        <f>$B47</f>
        <v>0</v>
      </c>
      <c r="I47" s="340" t="str">
        <f>IF($AG$25=$AF$6,Y47,"È prevista la costruzione dell'edificio secondo lo standard Minergie-(A/P)®? (Requisiti per il fabbisogno di energia  per l'utilizzo del calore per il riscaldamento, l'energia finale, la produzione di energia propria, la protezione termica estiva)")</f>
        <v>È prevista la costruzione dell'edificio secondo lo standard Minergie-(A/P)®? (Requisiti per il fabbisogno di energia  per l'utilizzo del calore per il riscaldamento, l'energia finale, la produzione di energia propria, la protezione termica estiva)</v>
      </c>
      <c r="J47" s="917">
        <f>B47</f>
        <v>0</v>
      </c>
      <c r="K47" s="471" t="s">
        <v>644</v>
      </c>
      <c r="L47" s="371"/>
      <c r="M47" s="371"/>
      <c r="N47" s="371"/>
      <c r="O47" s="371"/>
      <c r="P47" s="372"/>
      <c r="Q47" s="295">
        <f>B47</f>
        <v>0</v>
      </c>
      <c r="R47" s="423" t="s">
        <v>648</v>
      </c>
      <c r="S47" s="371"/>
      <c r="T47" s="371"/>
      <c r="U47" s="371"/>
      <c r="V47" s="371"/>
      <c r="W47" s="372"/>
      <c r="X47" s="295">
        <f>B47</f>
        <v>0</v>
      </c>
      <c r="Y47" s="423" t="s">
        <v>646</v>
      </c>
      <c r="Z47" s="371"/>
      <c r="AA47" s="371"/>
      <c r="AB47" s="371"/>
      <c r="AC47" s="371"/>
      <c r="AD47" s="372"/>
      <c r="AE47" s="138"/>
      <c r="AF47" s="746"/>
      <c r="AG47" s="746"/>
      <c r="AH47" s="746"/>
      <c r="AI47" s="746"/>
      <c r="AJ47" s="138"/>
      <c r="AK47" s="2094"/>
      <c r="AL47" s="706"/>
      <c r="AM47" s="491"/>
      <c r="AN47" s="1110" t="str">
        <f>IF(Tool!$H$7="Français",
"Énergie dans le chang. clim.",IF(Tool!$H$7="Italiano",
"Enegia col camb. clim.",
"Betriebsenergie im Klimawandel"))</f>
        <v>Betriebsenergie im Klimawandel</v>
      </c>
      <c r="AO47" s="168" t="str">
        <f>IF(Tool!$H$7="Français",
"EGES de l’exploitation",IF(Tool!$H$7="Italiano",
"EGES - esercizio",
"THGE Betrieb"))</f>
        <v>THGE Betrieb</v>
      </c>
      <c r="AP47" s="706"/>
      <c r="AQ47" s="727">
        <v>312</v>
      </c>
      <c r="AR47" s="168" t="str">
        <f>IF(Tool!$H$7="Français",
"Émissions de gaz à effet de serre de l’exploitation",IF(Tool!$H$7="Italiano",
"Emissioni di gas effetto serra - esercizio",
"Treibhausgasemissionen Betrieb"))</f>
        <v>Treibhausgasemissionen Betrieb</v>
      </c>
      <c r="AS47" s="114">
        <f>IF(AS239="NB",0,
IF(AS239&gt;=0.85,2,
IF(AS239&gt;=0.65,1,
IF(AS239&gt;=0.5,-1,
IF(AS239&lt;0.5,-2,0)))))</f>
        <v>0</v>
      </c>
      <c r="AT47" s="1115" t="s">
        <v>1470</v>
      </c>
      <c r="AU47" s="1110" t="str">
        <f>IF(Tool!$H$7="Français",
"Énergie dans le changement climatique",IF(Tool!$H$7="Italiano",
"Enegia col cambiamento climatico",
"Betriebsenergie im Klimawandel"))</f>
        <v>Betriebsenergie im Klimawandel</v>
      </c>
      <c r="AV47" s="651">
        <f>IF(AW246="NB",0,
IF(AW246&gt;=0.85,2,
IF(AW246&gt;=0.65,1,
IF(AW246&gt;=0.5,-1,
IF(AW246&lt;0.5,-2,0)))))</f>
        <v>0</v>
      </c>
      <c r="AW47" s="651"/>
      <c r="AX47" s="2"/>
      <c r="AY47" s="114"/>
      <c r="AZ47" s="810"/>
      <c r="BA47" s="718" t="str">
        <f>IF(Tool!$H$7="Français",
"ÉNERGIE",IF(Tool!$H$7="Italiano",
"ENERGIA",
"ENERGIE"))</f>
        <v>ENERGIE</v>
      </c>
      <c r="BB47" s="719"/>
      <c r="BC47" s="720"/>
      <c r="BH47" s="138"/>
    </row>
    <row r="48" spans="1:60" ht="15" customHeight="1">
      <c r="A48" s="138"/>
      <c r="B48" s="302">
        <v>1.1000000000000001</v>
      </c>
      <c r="C48" s="284">
        <f>IF(Tool!$H$7="Français",G48,IF(Tool!$H$7="Italiano",I48,E48))</f>
        <v>0</v>
      </c>
      <c r="D48" s="302"/>
      <c r="E48" s="308"/>
      <c r="F48" s="924"/>
      <c r="G48" s="308"/>
      <c r="H48" s="1595"/>
      <c r="I48" s="308"/>
      <c r="J48" s="917"/>
      <c r="K48" s="471"/>
      <c r="L48" s="371"/>
      <c r="M48" s="371"/>
      <c r="N48" s="371"/>
      <c r="O48" s="371"/>
      <c r="P48" s="372"/>
      <c r="Q48" s="295"/>
      <c r="R48" s="423"/>
      <c r="S48" s="371"/>
      <c r="T48" s="371"/>
      <c r="U48" s="371"/>
      <c r="V48" s="371"/>
      <c r="W48" s="372"/>
      <c r="X48" s="295"/>
      <c r="Y48" s="423"/>
      <c r="Z48" s="371"/>
      <c r="AA48" s="371"/>
      <c r="AB48" s="371"/>
      <c r="AC48" s="371"/>
      <c r="AD48" s="372"/>
      <c r="AE48" s="138"/>
      <c r="AF48" s="746"/>
      <c r="AG48" s="746"/>
      <c r="AH48" s="746"/>
      <c r="AI48" s="746"/>
      <c r="AJ48" s="138"/>
      <c r="AK48" s="2094"/>
      <c r="AL48" s="837"/>
      <c r="AM48" s="491"/>
      <c r="AN48" s="1110" t="str">
        <f>IF(Tool!$H$7="Français",
"Monitorage du confort",IF(Tool!$H$7="Italiano",
"Monitoraggio del comfort",
"Behaglichkeitsmonitoring"))</f>
        <v>Behaglichkeitsmonitoring</v>
      </c>
      <c r="AO48" s="488" t="str">
        <f>IF(Tool!$H$7="Français",
"EGES de la mobilité",IF(Tool!$H$7="Italiano",
"EGES - mobilità",
"THGE Mobilität"))</f>
        <v>THGE Mobilität</v>
      </c>
      <c r="AP48" s="837"/>
      <c r="AQ48" s="727">
        <v>313</v>
      </c>
      <c r="AR48" s="488" t="str">
        <f>IF(Tool!$H$7="Français",
"Émissions de gaz à effet de serre de la mobilité",IF(Tool!$H$7="Italiano",
"Emissioni di gas effetto serra - mobilità",
"Treibhausgasemissionen Mobilität"))</f>
        <v>Treibhausgasemissionen Mobilität</v>
      </c>
      <c r="AS48" s="114">
        <f>IF(AG29=AK8,-2,
IF(AS249="NB",0,
IF(AS249&gt;=0.85,2,
IF(AS249&gt;=0.65,1,
IF(AS249&gt;=0.5,-1,
IF(AS249&lt;0.5,-2,0))))))</f>
        <v>0</v>
      </c>
      <c r="AT48" s="1119" t="s">
        <v>525</v>
      </c>
      <c r="AU48" s="1110" t="str">
        <f>IF(Tool!$H$7="Français",
"Monitorage du confort",IF(Tool!$H$7="Italiano",
"Monitoraggio del comfort",
"Behaglichkeitsmonitoring"))</f>
        <v>Behaglichkeitsmonitoring</v>
      </c>
      <c r="AV48" s="2">
        <f>IF(AW271="NB",0,
IF(AW271&gt;=0.85,2,
IF(AW271&gt;=0.65,1,
IF(AW271&gt;=0.5,-1,
IF(AW271&lt;0.5,-2,0)))))</f>
        <v>0</v>
      </c>
      <c r="AW48" s="651"/>
      <c r="AX48" s="2"/>
      <c r="AY48" s="114"/>
      <c r="AZ48" s="810"/>
      <c r="BA48" s="718" t="str">
        <f>IF(Tool!$H$7="Français",
"PRÉSERVATION DES RESSOURCES &amp; PROTECTION DE L’ENVIRONNEMENT",IF(Tool!$H$7="Italiano",
"SALVAGUARDIA DELLE RISORSE E DELL’AMBIENTE",
"RESSOURCENSCHONUNG &amp; UMWELTSCHUTZ"))</f>
        <v>RESSOURCENSCHONUNG &amp; UMWELTSCHUTZ</v>
      </c>
      <c r="BB48" s="719"/>
      <c r="BC48" s="720"/>
      <c r="BH48" s="138"/>
    </row>
    <row r="49" spans="1:62" ht="15" customHeight="1">
      <c r="A49" s="138"/>
      <c r="B49" s="302"/>
      <c r="C49" s="296"/>
      <c r="D49" s="302"/>
      <c r="E49" s="296"/>
      <c r="F49" s="300"/>
      <c r="G49" s="429"/>
      <c r="H49" s="429"/>
      <c r="I49" s="429"/>
      <c r="J49" s="319"/>
      <c r="K49" s="423"/>
      <c r="L49" s="424"/>
      <c r="M49" s="424"/>
      <c r="N49" s="424"/>
      <c r="O49" s="424"/>
      <c r="P49" s="422"/>
      <c r="Q49" s="302"/>
      <c r="R49" s="423"/>
      <c r="S49" s="424"/>
      <c r="T49" s="424"/>
      <c r="U49" s="424"/>
      <c r="V49" s="424"/>
      <c r="W49" s="422"/>
      <c r="X49" s="302"/>
      <c r="Y49" s="423"/>
      <c r="Z49" s="424"/>
      <c r="AA49" s="424"/>
      <c r="AB49" s="424"/>
      <c r="AC49" s="424"/>
      <c r="AD49" s="422"/>
      <c r="AE49" s="138" t="s">
        <v>28</v>
      </c>
      <c r="AF49" s="746"/>
      <c r="AG49" s="746"/>
      <c r="AH49" s="746"/>
      <c r="AI49" s="746"/>
      <c r="AJ49" s="138"/>
      <c r="AK49" s="2094"/>
      <c r="AL49" s="838" t="str">
        <f>IF(Tool!$H$7="Français",
"Énergie",IF(Tool!$H$7="Italiano",
"Energia",
"Energie"))</f>
        <v>Energie</v>
      </c>
      <c r="AM49" s="491">
        <v>32</v>
      </c>
      <c r="AN49" s="1110" t="str">
        <f>IF(Tool!$H$7="Français",
"L'environn. dans le chang. clim.",IF(Tool!$H$7="Italiano",
"L'ambiente col camb. clim.",
"Umgebung im Klimawandel"))</f>
        <v>Umgebung im Klimawandel</v>
      </c>
      <c r="AO49" s="488" t="str">
        <f>IF(Tool!$H$7="Français",
"Besoins énerg. pour la construction",IF(Tool!$H$7="Italiano",
"Fabbisogno di energia - realizzazione",
"Energiebedarf Erstellung"))</f>
        <v>Energiebedarf Erstellung</v>
      </c>
      <c r="AP49" s="838" t="str">
        <f>IF(Tool!$H$7="Français",
"Énergie",IF(Tool!$H$7="Italiano",
"Energia",
"Energie"))</f>
        <v>Energie</v>
      </c>
      <c r="AQ49" s="730">
        <v>321</v>
      </c>
      <c r="AR49" s="488" t="str">
        <f>IF(Tool!$H$7="Français",
"Besoins énergétiques pour la construction",IF(Tool!$H$7="Italiano",
"Fabbisogno di energia - realizzazione",
"Energiebedarf Erstellung"))</f>
        <v>Energiebedarf Erstellung</v>
      </c>
      <c r="AS49" s="114">
        <f>IF(AS225="NB",0,
IF(AS225&gt;=0.85,2,
IF(AS225&gt;=0.65,1,
IF(AS225&gt;=0.5,-1,
IF(AS225&lt;0.5,-2,0)))))</f>
        <v>0</v>
      </c>
      <c r="AT49" s="1115" t="s">
        <v>526</v>
      </c>
      <c r="AU49" s="1110" t="str">
        <f>IF(Tool!$H$7="Français",
"L'environnement dans le changement climatique",IF(Tool!$H$7="Italiano",
"L'ambiente col cambiamento climatico",
"Umgebung im Klimawandel"))</f>
        <v>Umgebung im Klimawandel</v>
      </c>
      <c r="AV49" s="2">
        <f>IF(AW299="NB",0,
IF(AW299&gt;=0.85,2,
IF(AW299&gt;=0.65,1,
IF(AW299&gt;=0.5,-1,
IF(AW299&lt;0.5,-2,0)))))</f>
        <v>0</v>
      </c>
      <c r="AW49" s="651"/>
      <c r="AX49" s="2"/>
      <c r="AY49" s="114"/>
      <c r="AZ49" s="810"/>
      <c r="BA49" s="718" t="str">
        <f>IF(Tool!$H$7="Français",
"NATURE &amp; PAYSAGE",IF(Tool!$H$7="Italiano",
"NATURA E PAESAGGIO",
"NATUR &amp; LANDSCHAFT"))</f>
        <v>NATUR &amp; LANDSCHAFT</v>
      </c>
      <c r="BB49" s="719"/>
      <c r="BC49" s="720"/>
      <c r="BH49" s="138"/>
    </row>
    <row r="50" spans="1:62" ht="15" customHeight="1">
      <c r="A50" s="138"/>
      <c r="B50" s="303"/>
      <c r="C50" s="298"/>
      <c r="D50" s="303"/>
      <c r="E50" s="298"/>
      <c r="F50" s="301"/>
      <c r="G50" s="430"/>
      <c r="H50" s="430"/>
      <c r="I50" s="430"/>
      <c r="J50" s="320"/>
      <c r="K50" s="426"/>
      <c r="L50" s="427"/>
      <c r="M50" s="427"/>
      <c r="N50" s="427"/>
      <c r="O50" s="427"/>
      <c r="P50" s="428"/>
      <c r="Q50" s="303"/>
      <c r="R50" s="426"/>
      <c r="S50" s="427"/>
      <c r="T50" s="427"/>
      <c r="U50" s="427"/>
      <c r="V50" s="427"/>
      <c r="W50" s="428"/>
      <c r="X50" s="303"/>
      <c r="Y50" s="426"/>
      <c r="Z50" s="427"/>
      <c r="AA50" s="427"/>
      <c r="AB50" s="427"/>
      <c r="AC50" s="427"/>
      <c r="AD50" s="428"/>
      <c r="AE50" s="138" t="s">
        <v>28</v>
      </c>
      <c r="AF50" s="746"/>
      <c r="AG50" s="746"/>
      <c r="AH50" s="746"/>
      <c r="AI50" s="746"/>
      <c r="AJ50" s="138"/>
      <c r="AK50" s="2094"/>
      <c r="AM50" s="491"/>
      <c r="AN50" s="1292"/>
      <c r="AO50" s="488" t="str">
        <f>IF(Tool!$H$7="Français",
"Besoins énerg. pour l’exploitation",IF(Tool!$H$7="Italiano",
"Fabbisogno di energia - esercizio",
"Energiebedarf Betrieb"))</f>
        <v>Energiebedarf Betrieb</v>
      </c>
      <c r="AQ50" s="730">
        <v>322</v>
      </c>
      <c r="AR50" s="488" t="str">
        <f>IF(Tool!$H$7="Français",
"Besoins énergétiques pour l’exploitation",IF(Tool!$H$7="Italiano",
"Fabbisogno di energia - esercizio",
"Energiebedarf Betrieb"))</f>
        <v>Energiebedarf Betrieb</v>
      </c>
      <c r="AS50" s="1124">
        <f>IF(AS233="NB",0,
IF(AS233&gt;=0.85,2,
IF(AS233&gt;=0.65,1,
IF(AS233&gt;=0.5,-1,
IF(AS233&lt;0.5,-2,0)))))</f>
        <v>0</v>
      </c>
      <c r="AT50" s="1123"/>
      <c r="AU50" s="2"/>
      <c r="AV50" s="2"/>
      <c r="AW50" s="651"/>
      <c r="AX50" s="2"/>
      <c r="AY50" s="114"/>
      <c r="AZ50" s="746"/>
      <c r="BA50" s="813"/>
      <c r="BB50" s="138"/>
      <c r="BC50" s="138"/>
      <c r="BD50" s="138"/>
      <c r="BE50" s="138"/>
      <c r="BF50" s="138"/>
      <c r="BG50" s="138"/>
      <c r="BH50" s="138"/>
      <c r="BI50" s="138"/>
      <c r="BJ50" s="138"/>
    </row>
    <row r="51" spans="1:62" ht="15" customHeight="1">
      <c r="A51" s="138"/>
      <c r="B51" s="492"/>
      <c r="C51" s="878" t="str">
        <f>IF(Tool!$H$7="Français",G51,IF(Tool!$H$7="Italiano",I51,E51))</f>
        <v>Gesellschaft</v>
      </c>
      <c r="D51" s="492"/>
      <c r="E51" s="493" t="s">
        <v>0</v>
      </c>
      <c r="F51" s="492"/>
      <c r="G51" s="494" t="s">
        <v>94</v>
      </c>
      <c r="H51" s="494"/>
      <c r="I51" s="494"/>
      <c r="J51" s="492"/>
      <c r="K51" s="2075" t="str">
        <f>E51</f>
        <v>Gesellschaft</v>
      </c>
      <c r="L51" s="2076"/>
      <c r="M51" s="2076"/>
      <c r="N51" s="2076"/>
      <c r="O51" s="2076"/>
      <c r="P51" s="2077"/>
      <c r="Q51" s="492"/>
      <c r="R51" s="2074" t="str">
        <f>G51</f>
        <v>Société</v>
      </c>
      <c r="S51" s="2072"/>
      <c r="T51" s="2072"/>
      <c r="U51" s="2072"/>
      <c r="V51" s="2072"/>
      <c r="W51" s="2073"/>
      <c r="X51" s="492"/>
      <c r="Y51" s="2072" t="s">
        <v>94</v>
      </c>
      <c r="Z51" s="2072"/>
      <c r="AA51" s="2072"/>
      <c r="AB51" s="2072"/>
      <c r="AC51" s="2072"/>
      <c r="AD51" s="2073"/>
      <c r="AE51" s="138" t="s">
        <v>28</v>
      </c>
      <c r="AF51" s="746"/>
      <c r="AG51" s="746"/>
      <c r="AH51" s="746"/>
      <c r="AI51" s="746"/>
      <c r="AJ51" s="138"/>
      <c r="AK51" s="2094"/>
      <c r="AL51" s="805" t="str">
        <f>IF(Tool!$H$7="Français",
"Préservation des ressources &amp; protection de l’environnement",IF(Tool!$H$7="Italiano",
"Salvaguardia delle risorse e dell’ambiente",
"Ressourcenschonung &amp; Umweltschutz"))</f>
        <v>Ressourcenschonung &amp; Umweltschutz</v>
      </c>
      <c r="AM51" s="491">
        <v>33</v>
      </c>
      <c r="AN51" s="1292"/>
      <c r="AO51" s="488" t="str">
        <f>IF(Tool!$H$7="Français",
"Chantier",IF(Tool!$H$7="Italiano",
"Cantiere",
"Baustelle"))</f>
        <v>Baustelle</v>
      </c>
      <c r="AP51" s="805" t="str">
        <f>IF(Tool!$H$7="Français",
"Préserv. ressources &amp; prot. environn.",IF(Tool!$H$7="Italiano",
"Salvaguardia risorse e ambiente",
"Ressourcenschonung &amp; Umweltschutz"))</f>
        <v>Ressourcenschonung &amp; Umweltschutz</v>
      </c>
      <c r="AQ51" s="727">
        <v>331</v>
      </c>
      <c r="AR51" s="488" t="str">
        <f>IF(Tool!$H$7="Français",
"Chantier",IF(Tool!$H$7="Italiano",
"Cantiere",
"Baustelle"))</f>
        <v>Baustelle</v>
      </c>
      <c r="AS51" s="114">
        <f>IF(AS253="NB",0,
IF(AS253&gt;=0.85,2,
IF(AS253&gt;=0.65,1,
IF(AS253&gt;=0.5,-1,
IF(AS253&lt;0.5,-2,0)))))</f>
        <v>0</v>
      </c>
      <c r="AT51" s="1120"/>
      <c r="AU51" s="65"/>
      <c r="AV51" s="65"/>
      <c r="AW51" s="652"/>
      <c r="AX51" s="65"/>
      <c r="AY51" s="115"/>
      <c r="AZ51" s="746"/>
      <c r="BA51" s="746"/>
      <c r="BB51" s="138"/>
      <c r="BC51" s="138"/>
      <c r="BD51" s="138"/>
      <c r="BE51" s="138"/>
      <c r="BF51" s="138"/>
      <c r="BG51" s="138"/>
      <c r="BH51" s="138"/>
      <c r="BI51" s="138"/>
      <c r="BJ51" s="138"/>
    </row>
    <row r="52" spans="1:62" ht="15" customHeight="1">
      <c r="A52" s="138"/>
      <c r="B52" s="495"/>
      <c r="C52" s="866" t="str">
        <f>IF(Tool!$H$7="Français",G52,IF(Tool!$H$7="Italiano",I52,E52))</f>
        <v>Qualität der Entwicklung</v>
      </c>
      <c r="D52" s="495"/>
      <c r="E52" s="496" t="s">
        <v>543</v>
      </c>
      <c r="F52" s="495"/>
      <c r="G52" s="496" t="s">
        <v>551</v>
      </c>
      <c r="H52" s="496"/>
      <c r="I52" s="496" t="s">
        <v>608</v>
      </c>
      <c r="J52" s="495"/>
      <c r="K52" s="886" t="str">
        <f>E52</f>
        <v>Qualität der Entwicklung</v>
      </c>
      <c r="L52" s="887"/>
      <c r="M52" s="887"/>
      <c r="N52" s="887"/>
      <c r="O52" s="887"/>
      <c r="P52" s="888"/>
      <c r="Q52" s="495"/>
      <c r="R52" s="943" t="str">
        <f>G52</f>
        <v>Qualité du développement</v>
      </c>
      <c r="S52" s="848"/>
      <c r="T52" s="848"/>
      <c r="U52" s="848"/>
      <c r="V52" s="848"/>
      <c r="W52" s="849"/>
      <c r="X52" s="495"/>
      <c r="Y52" s="943" t="str">
        <f>I52</f>
        <v>Qualità dello sviluppo</v>
      </c>
      <c r="Z52" s="848"/>
      <c r="AA52" s="848"/>
      <c r="AB52" s="848"/>
      <c r="AC52" s="848"/>
      <c r="AD52" s="849"/>
      <c r="AE52" s="138"/>
      <c r="AF52" s="746"/>
      <c r="AG52" s="746"/>
      <c r="AH52" s="746"/>
      <c r="AI52" s="746"/>
      <c r="AJ52" s="138"/>
      <c r="AK52" s="2094"/>
      <c r="AL52" s="706"/>
      <c r="AM52" s="491"/>
      <c r="AN52" s="1292"/>
      <c r="AO52" s="751" t="str">
        <f>IF(Tool!$H$7="Français",
"Matériaux écologiques",IF(Tool!$H$7="Italiano",
"Materiali ecologici",
"Ökologische Baustoffe"))</f>
        <v>Ökologische Baustoffe</v>
      </c>
      <c r="AP52" s="706"/>
      <c r="AQ52" s="728">
        <v>332</v>
      </c>
      <c r="AR52" s="751" t="str">
        <f>IF(Tool!$H$7="Français",
"Matériaux écologiques",IF(Tool!$H$7="Italiano",
"Materiali ecologici",
"Ökologische Baustoffe"))</f>
        <v>Ökologische Baustoffe</v>
      </c>
      <c r="AS52" s="114">
        <f>IF(AS258="NB",0,
IF(AS258&gt;=0.85,2,
IF(AS258&gt;=0.65,1,
IF(AS258&gt;=0.5,-1,
IF(AS258&lt;0.5,-2,0)))))</f>
        <v>0</v>
      </c>
      <c r="AT52" s="1123"/>
      <c r="AU52" s="673"/>
      <c r="AV52" s="673"/>
      <c r="AW52" s="673"/>
      <c r="AX52" s="673"/>
      <c r="AY52" s="115"/>
      <c r="AZ52" s="746"/>
      <c r="BA52" s="746"/>
      <c r="BB52" s="138"/>
      <c r="BC52" s="138"/>
      <c r="BD52" s="138"/>
      <c r="BE52" s="138"/>
      <c r="BF52" s="138"/>
      <c r="BG52" s="138"/>
      <c r="BH52" s="138"/>
      <c r="BI52" s="138"/>
      <c r="BJ52" s="138"/>
    </row>
    <row r="53" spans="1:62" ht="15" customHeight="1">
      <c r="A53" s="138"/>
      <c r="B53" s="498">
        <v>111</v>
      </c>
      <c r="C53" s="870" t="str">
        <f>IF(Tool!$H$7="Français",G53,IF(Tool!$H$7="Italiano",I53,E53))</f>
        <v>Wurde in der Projektinitialisierung (SIA-Phase 0) das Vorhaben mit der Bauherrschaft auf übergeordnete Leitbilder (Bund, Kanton, Gemeinde, Quartier) überprüft und werden übergeordnete sowie individuelle Ziele festgelegt und in Pflichtenheften verankert?</v>
      </c>
      <c r="D53" s="498">
        <f>$B53</f>
        <v>111</v>
      </c>
      <c r="E53" s="499" t="str">
        <f>IF(AG26=AG6,O53,P53)</f>
        <v>Wurde in der Projektinitialisierung (SIA-Phase 0) das Vorhaben mit der Bauherrschaft auf übergeordnete Leitbilder (Bund, Kanton, Gemeinde, Quartier) überprüft und werden übergeordnete sowie individuelle Ziele festgelegt und in Pflichtenheften verankert?</v>
      </c>
      <c r="F53" s="498">
        <f>$B53</f>
        <v>111</v>
      </c>
      <c r="G53" s="499" t="str">
        <f>IF(AG26=AG6,V53,W53)</f>
        <v>Le projet se base-t-il sur une analyse de site complète conduite au début du projet (Phase SIA 0) et les cahiers des charges incluent-ils des références aux modèles supérieurs (suisses, cantonaux, communaux) ainsi qu'à des objectifs individuels et d'ordre général appropriés ?</v>
      </c>
      <c r="H53" s="498">
        <f>$B53</f>
        <v>111</v>
      </c>
      <c r="I53" s="500" t="str">
        <f>IF(AG26=AG6,AC53,AD53)</f>
        <v>Durante la fase di inizializzazione (fase 0 del SIA), le specifiche di progetto edilizio sono state esaminate con il committente in relazione alle direttive generali (federali, cantonali, comunali, di quartiere) e gli obiettivi generali e individuali sono stati definiti e fissati nel capitolato d’oneri?</v>
      </c>
      <c r="J53" s="498">
        <f>$B53</f>
        <v>111</v>
      </c>
      <c r="K53" s="501"/>
      <c r="L53" s="502"/>
      <c r="M53" s="502"/>
      <c r="N53" s="502"/>
      <c r="O53" s="502" t="s">
        <v>604</v>
      </c>
      <c r="P53" s="503" t="s">
        <v>605</v>
      </c>
      <c r="Q53" s="498">
        <f>$B53</f>
        <v>111</v>
      </c>
      <c r="R53" s="501"/>
      <c r="S53" s="502"/>
      <c r="T53" s="502"/>
      <c r="U53" s="502"/>
      <c r="V53" s="502" t="s">
        <v>1732</v>
      </c>
      <c r="W53" s="503" t="s">
        <v>396</v>
      </c>
      <c r="X53" s="498">
        <f>$B53</f>
        <v>111</v>
      </c>
      <c r="Y53" s="501"/>
      <c r="Z53" s="502"/>
      <c r="AA53" s="502"/>
      <c r="AB53" s="502"/>
      <c r="AC53" s="1596" t="s">
        <v>1706</v>
      </c>
      <c r="AD53" s="503" t="s">
        <v>1980</v>
      </c>
      <c r="AE53" s="138"/>
      <c r="AF53" s="746"/>
      <c r="AG53" s="746"/>
      <c r="AH53" s="746"/>
      <c r="AI53" s="746"/>
      <c r="AJ53" s="138"/>
      <c r="AK53" s="2094"/>
      <c r="AL53" s="837"/>
      <c r="AM53" s="491"/>
      <c r="AN53" s="1294"/>
      <c r="AO53" s="168" t="str">
        <f>IF(Tool!$H$7="Français",
"Mise en service",IF(Tool!$H$7="Italiano",
"Messa in funzione sistematica",
"Systematische Inbetriebnahme"))</f>
        <v>Systematische Inbetriebnahme</v>
      </c>
      <c r="AP53" s="837"/>
      <c r="AQ53" s="727">
        <v>333</v>
      </c>
      <c r="AR53" s="168" t="str">
        <f>IF(Tool!$H$7="Français",
"Mise en service",IF(Tool!$H$7="Italiano",
"Messa in funzione sistematica",
"Systematische Inbetriebnahme"))</f>
        <v>Systematische Inbetriebnahme</v>
      </c>
      <c r="AS53" s="114">
        <f>IF(AS263="NB",0,
IF(AS263&gt;=0.85,2,
IF(AS263&gt;=0.65,1,
IF(AS263&gt;=0.5,-1,
IF(AS263&lt;0.5,-2,0)))))</f>
        <v>0</v>
      </c>
      <c r="AT53" s="746"/>
      <c r="AU53" s="746"/>
      <c r="AV53" s="746"/>
      <c r="AW53" s="746"/>
      <c r="AX53" s="746"/>
      <c r="AY53" s="810"/>
      <c r="AZ53" s="746"/>
      <c r="BA53" s="746"/>
      <c r="BB53" s="138"/>
      <c r="BC53" s="138"/>
      <c r="BD53" s="138"/>
      <c r="BE53" s="138"/>
      <c r="BF53" s="138"/>
      <c r="BG53" s="138"/>
      <c r="BH53" s="138"/>
      <c r="BI53" s="138"/>
      <c r="BJ53" s="138"/>
    </row>
    <row r="54" spans="1:62" ht="15" customHeight="1">
      <c r="A54" s="138"/>
      <c r="B54" s="498"/>
      <c r="C54" s="870" t="str">
        <f>IF(Tool!$H$7="Français",G54,IF(Tool!$H$7="Italiano",I54,E54))</f>
        <v>Wird der Bezug zu übergeordneten Zielsetzungen, Leitbildern oder Planungen gemacht, z. B. des Quartiers, der Gemeinde, des Kantons oder des Bundes gemacht?</v>
      </c>
      <c r="D54" s="498"/>
      <c r="E54" s="499" t="str">
        <f>IF(AG26=AG6,O54,P54)</f>
        <v>Wird der Bezug zu übergeordneten Zielsetzungen, Leitbildern oder Planungen gemacht, z. B. des Quartiers, der Gemeinde, des Kantons oder des Bundes gemacht?</v>
      </c>
      <c r="F54" s="498"/>
      <c r="G54" s="499" t="str">
        <f>IF(AG26=AG6,V54,W54)</f>
        <v>Le projet se réfère-t-il à des objectifs ou aux plans directeurs et concepts d'aménagement du quartier, de la commune, du canton ou du conseil fédéral ? (Concepts de développement de la commune ou de la ville, projets de territoire ou plans directeurs)</v>
      </c>
      <c r="H54" s="498"/>
      <c r="I54" s="500" t="str">
        <f>IF(AG26=AG6,AC54,AD54)</f>
        <v>Si fa riferimento a obiettivi generali, linee guida o piani, ad esempio del quartiere, del comune, del cantone o del governo federale?</v>
      </c>
      <c r="J54" s="498"/>
      <c r="K54" s="501"/>
      <c r="L54" s="502"/>
      <c r="M54" s="502"/>
      <c r="N54" s="502"/>
      <c r="O54" s="502" t="s">
        <v>732</v>
      </c>
      <c r="P54" s="503" t="s">
        <v>733</v>
      </c>
      <c r="Q54" s="498"/>
      <c r="R54" s="501"/>
      <c r="S54" s="502"/>
      <c r="T54" s="502"/>
      <c r="U54" s="502"/>
      <c r="V54" s="502" t="s">
        <v>1733</v>
      </c>
      <c r="W54" s="503" t="s">
        <v>1734</v>
      </c>
      <c r="X54" s="498"/>
      <c r="Y54" s="501"/>
      <c r="Z54" s="502"/>
      <c r="AA54" s="502"/>
      <c r="AB54" s="502"/>
      <c r="AC54" s="1596" t="s">
        <v>1707</v>
      </c>
      <c r="AD54" s="503" t="s">
        <v>1711</v>
      </c>
      <c r="AE54" s="138" t="s">
        <v>28</v>
      </c>
      <c r="AF54" s="746"/>
      <c r="AG54" s="746"/>
      <c r="AH54" s="746"/>
      <c r="AI54" s="746"/>
      <c r="AJ54" s="138"/>
      <c r="AK54" s="2094"/>
      <c r="AL54" s="706"/>
      <c r="AM54" s="491"/>
      <c r="AN54" s="1294"/>
      <c r="AO54" s="488" t="str">
        <f>IF(Tool!$H$7="Français",
"Monitoring énergétique",IF(Tool!$H$7="Italiano",
"Monitoraggio energetico",
"Energiemonitoring"))</f>
        <v>Energiemonitoring</v>
      </c>
      <c r="AP54" s="706"/>
      <c r="AQ54" s="727">
        <v>334</v>
      </c>
      <c r="AR54" s="488" t="str">
        <f>IF(Tool!$H$7="Français",
"Monitoring énergétique",IF(Tool!$H$7="Italiano",
"Monitoraggio energetico",
"Energiemonitoring"))</f>
        <v>Energiemonitoring</v>
      </c>
      <c r="AS54" s="114">
        <f>IF(AS267="NB",0,
IF(AS267&gt;=0.85,2,
IF(AS267&gt;=0.65,1,
IF(AS267&gt;=0.5,-1,
IF(AS267&lt;0.5,-2,0)))))</f>
        <v>0</v>
      </c>
      <c r="AT54" s="746"/>
      <c r="AU54" s="746"/>
      <c r="AV54" s="746"/>
      <c r="AW54" s="746"/>
      <c r="AX54" s="746"/>
      <c r="AY54" s="810"/>
      <c r="AZ54" s="746"/>
      <c r="BA54" s="746"/>
      <c r="BB54" s="138"/>
      <c r="BC54" s="138"/>
      <c r="BD54" s="138"/>
      <c r="BE54" s="138"/>
      <c r="BF54" s="138"/>
      <c r="BG54" s="138"/>
      <c r="BH54" s="138"/>
      <c r="BI54" s="138"/>
      <c r="BJ54" s="138"/>
    </row>
    <row r="55" spans="1:62" ht="15" customHeight="1">
      <c r="A55" s="138"/>
      <c r="B55" s="498"/>
      <c r="C55" s="870" t="str">
        <f>IF(Tool!$H$7="Français",G55,IF(Tool!$H$7="Italiano",I55,E55))</f>
        <v>Werden mit der Bauherrschaft im Auswahlverfahren (SIA-Phase 2) individuelle (Nachhaltigkeits-)Ziele detailliert festgelegt?</v>
      </c>
      <c r="D55" s="498"/>
      <c r="E55" s="499" t="s">
        <v>553</v>
      </c>
      <c r="F55" s="498"/>
      <c r="G55" s="499" t="s">
        <v>1714</v>
      </c>
      <c r="H55" s="498"/>
      <c r="I55" s="500" t="s">
        <v>1688</v>
      </c>
      <c r="J55" s="498"/>
      <c r="K55" s="501"/>
      <c r="L55" s="502"/>
      <c r="M55" s="502"/>
      <c r="N55" s="502"/>
      <c r="O55" s="502"/>
      <c r="P55" s="503"/>
      <c r="Q55" s="498"/>
      <c r="R55" s="501"/>
      <c r="S55" s="502"/>
      <c r="T55" s="502"/>
      <c r="U55" s="502"/>
      <c r="V55" s="502"/>
      <c r="W55" s="503"/>
      <c r="X55" s="498"/>
      <c r="Y55" s="501"/>
      <c r="Z55" s="502"/>
      <c r="AA55" s="502"/>
      <c r="AB55" s="502"/>
      <c r="AC55" s="502"/>
      <c r="AD55" s="503"/>
      <c r="AE55" s="138" t="s">
        <v>28</v>
      </c>
      <c r="AF55" s="746"/>
      <c r="AG55" s="746"/>
      <c r="AH55" s="746"/>
      <c r="AI55" s="746"/>
      <c r="AJ55" s="138"/>
      <c r="AK55" s="2094"/>
      <c r="AL55" s="837"/>
      <c r="AM55" s="491"/>
      <c r="AN55" s="1294"/>
      <c r="AO55" s="488" t="str">
        <f>IF(Tool!$H$7="Français",
"Mobilité douce",IF(Tool!$H$7="Italiano",
"Misure per la mobilità",
"Mobilitätsmassnahmen"))</f>
        <v>Mobilitätsmassnahmen</v>
      </c>
      <c r="AP55" s="837"/>
      <c r="AQ55" s="730">
        <v>335</v>
      </c>
      <c r="AR55" s="488" t="str">
        <f>IF(Tool!$H$7="Français",
"Mobilité douce",IF(Tool!$H$7="Italiano",
"Misure per la mobilità",
"Mobilitätsmassnahmen"))</f>
        <v>Mobilitätsmassnahmen</v>
      </c>
      <c r="AS55" s="114">
        <f>IF(AS275="NB",0,
IF(AS275&gt;=0.85,2,
IF(AS275&gt;=0.65,1,
IF(AS275&gt;=0.5,-1,
IF(AS275&lt;0.5,-2,0)))))</f>
        <v>0</v>
      </c>
      <c r="AT55" s="746"/>
      <c r="AU55" s="746"/>
      <c r="AV55" s="746"/>
      <c r="AW55" s="746"/>
      <c r="AX55" s="746"/>
      <c r="AY55" s="810"/>
      <c r="AZ55" s="746"/>
      <c r="BA55" s="746"/>
      <c r="BB55" s="138"/>
      <c r="BC55" s="138"/>
      <c r="BD55" s="138"/>
      <c r="BE55" s="138"/>
      <c r="BF55" s="138"/>
      <c r="BG55" s="138"/>
      <c r="BH55" s="138"/>
      <c r="BI55" s="138"/>
      <c r="BJ55" s="138"/>
    </row>
    <row r="56" spans="1:62" ht="15" customHeight="1">
      <c r="A56" s="138"/>
      <c r="B56" s="498"/>
      <c r="C56" s="870" t="str">
        <f>IF(Tool!$H$7="Français",G56,IF(Tool!$H$7="Italiano",I56,E56))</f>
        <v>Werden die definierten Ziele zu Beginn der SIA-Phase 3 als entsprechende Vereinbarungen in Pflichtenhefte verankert?</v>
      </c>
      <c r="D56" s="498"/>
      <c r="E56" s="499" t="s">
        <v>552</v>
      </c>
      <c r="F56" s="498"/>
      <c r="G56" s="499" t="s">
        <v>1715</v>
      </c>
      <c r="H56" s="498"/>
      <c r="I56" s="500" t="s">
        <v>1689</v>
      </c>
      <c r="J56" s="498"/>
      <c r="K56" s="501"/>
      <c r="L56" s="502"/>
      <c r="M56" s="502"/>
      <c r="N56" s="502"/>
      <c r="O56" s="502" t="s">
        <v>295</v>
      </c>
      <c r="P56" s="647"/>
      <c r="Q56" s="498"/>
      <c r="R56" s="501"/>
      <c r="S56" s="502"/>
      <c r="T56" s="502"/>
      <c r="U56" s="502"/>
      <c r="V56" s="502" t="s">
        <v>399</v>
      </c>
      <c r="W56" s="647"/>
      <c r="X56" s="498"/>
      <c r="Y56" s="501"/>
      <c r="Z56" s="502"/>
      <c r="AA56" s="502"/>
      <c r="AB56" s="502"/>
      <c r="AC56" s="502" t="s">
        <v>1708</v>
      </c>
      <c r="AD56" s="647"/>
      <c r="AE56" s="138" t="s">
        <v>28</v>
      </c>
      <c r="AF56" s="746"/>
      <c r="AG56" s="746"/>
      <c r="AH56" s="746"/>
      <c r="AI56" s="746"/>
      <c r="AJ56" s="138"/>
      <c r="AK56" s="2094"/>
      <c r="AL56" s="706"/>
      <c r="AM56" s="491"/>
      <c r="AN56" s="1294"/>
      <c r="AO56" s="488" t="str">
        <f>IF(Tool!$H$7="Français",
"Mobilité électrique",IF(Tool!$H$7="Italiano",
"Mobilità elettrica",
"Elektro-Mobilität"))</f>
        <v>Elektro-Mobilität</v>
      </c>
      <c r="AP56" s="706"/>
      <c r="AQ56" s="730">
        <v>336</v>
      </c>
      <c r="AR56" s="488" t="str">
        <f>IF(Tool!$H$7="Français",
"Mobilité électrique",IF(Tool!$H$7="Italiano",
"Mobilità elettrica",
"Elektro-Mobilität"))</f>
        <v>Elektro-Mobilität</v>
      </c>
      <c r="AS56" s="1124">
        <f>IF(AS281="NB",0,
IF(AS281&gt;=0.85,2,
IF(AS281&gt;=0.65,1,
IF(AS281&gt;=0.5,-1,
IF(AS281&lt;0.5,-2,0)))))</f>
        <v>0</v>
      </c>
      <c r="AT56" s="746"/>
      <c r="AU56" s="746"/>
      <c r="AV56" s="746"/>
      <c r="AW56" s="746"/>
      <c r="AX56" s="746"/>
      <c r="AY56" s="810"/>
      <c r="AZ56" s="746"/>
      <c r="BA56" s="746"/>
      <c r="BB56" s="138"/>
      <c r="BC56" s="138"/>
      <c r="BD56" s="138"/>
      <c r="BE56" s="138"/>
      <c r="BF56" s="138"/>
      <c r="BG56" s="138"/>
      <c r="BH56" s="138"/>
      <c r="BI56" s="138"/>
      <c r="BJ56" s="138"/>
    </row>
    <row r="57" spans="1:62" ht="15" customHeight="1">
      <c r="A57" s="138"/>
      <c r="B57" s="642" t="str">
        <f>IF(OR(Tool!H$7="Deutsch",Tool!H$7=""),"K111","C111")</f>
        <v>K111</v>
      </c>
      <c r="C57" s="872" t="str">
        <f>IF(Tool!$H$7="Français",G57,IF(Tool!$H$7="Italiano",I57,E57))</f>
        <v>Wurde eine spezifische Analyse des Bauvorhabens in Bezug auf den Klimawandel durchgeführt und wurden darauf basierend Ziele zu Klimaschutz und Klimaanpassung im Pflichtenheft verankert?</v>
      </c>
      <c r="D57" s="642" t="str">
        <f>$B57</f>
        <v>K111</v>
      </c>
      <c r="E57" s="643" t="s">
        <v>554</v>
      </c>
      <c r="F57" s="642" t="str">
        <f>$B57</f>
        <v>K111</v>
      </c>
      <c r="G57" s="643" t="s">
        <v>1716</v>
      </c>
      <c r="H57" s="642" t="str">
        <f>$B57</f>
        <v>K111</v>
      </c>
      <c r="I57" s="934" t="s">
        <v>1690</v>
      </c>
      <c r="J57" s="642" t="str">
        <f>$B57</f>
        <v>K111</v>
      </c>
      <c r="K57" s="644"/>
      <c r="L57" s="645"/>
      <c r="M57" s="645"/>
      <c r="N57" s="645"/>
      <c r="O57" s="645"/>
      <c r="P57" s="646"/>
      <c r="Q57" s="642" t="str">
        <f>$B57</f>
        <v>K111</v>
      </c>
      <c r="R57" s="644"/>
      <c r="S57" s="645"/>
      <c r="T57" s="645"/>
      <c r="U57" s="645"/>
      <c r="V57" s="645"/>
      <c r="W57" s="646"/>
      <c r="X57" s="642" t="str">
        <f>$B57</f>
        <v>K111</v>
      </c>
      <c r="Y57" s="644"/>
      <c r="Z57" s="645"/>
      <c r="AA57" s="645"/>
      <c r="AB57" s="645"/>
      <c r="AC57" s="645"/>
      <c r="AD57" s="646"/>
      <c r="AE57" s="138" t="s">
        <v>28</v>
      </c>
      <c r="AF57" s="746"/>
      <c r="AG57" s="746"/>
      <c r="AH57" s="746"/>
      <c r="AI57" s="746"/>
      <c r="AJ57" s="138"/>
      <c r="AK57" s="2094"/>
      <c r="AL57" s="805" t="str">
        <f>IF(Tool!$H$7="Français",
"Nature &amp; paysage",IF(Tool!$H$7="Italiano",
"Natura e paesaggio",
"Natur &amp; Landschaft"))</f>
        <v>Natur &amp; Landschaft</v>
      </c>
      <c r="AM57" s="491">
        <v>34</v>
      </c>
      <c r="AN57" s="1294"/>
      <c r="AO57" s="488" t="str">
        <f>IF(Tool!$H$7="Français",
"Biodiversité",IF(Tool!$H$7="Italiano",
"Biodiversità",
"Biodiversität"))</f>
        <v>Biodiversität</v>
      </c>
      <c r="AP57" s="805" t="str">
        <f>IF(Tool!$H$7="Français",
"Nature &amp; paysage",IF(Tool!$H$7="Italiano",
"Natura e paesaggio",
"Natur &amp; Landschaft"))</f>
        <v>Natur &amp; Landschaft</v>
      </c>
      <c r="AQ57" s="727">
        <v>341</v>
      </c>
      <c r="AR57" s="488" t="str">
        <f>IF(Tool!$H$7="Français",
"Biodiversité",IF(Tool!$H$7="Italiano",
"Biodiversità",
"Biodiversität"))</f>
        <v>Biodiversität</v>
      </c>
      <c r="AS57" s="114">
        <f>IF(AG30=AQ5,-2,
IF(AS286="NB",0,
IF(AS286&gt;=0.85,2,
IF(AS286&gt;=0.65,1,
IF(AS286&gt;=0.5,-1,
IF(AS286&lt;0.5,-2,0))))))</f>
        <v>0</v>
      </c>
      <c r="AT57" s="746"/>
      <c r="AU57" s="746"/>
      <c r="AV57" s="746"/>
      <c r="AW57" s="746"/>
      <c r="AX57" s="746"/>
      <c r="AY57" s="810"/>
      <c r="AZ57" s="746"/>
      <c r="BA57" s="746"/>
      <c r="BB57" s="138"/>
      <c r="BC57" s="138"/>
      <c r="BD57" s="138"/>
      <c r="BE57" s="138"/>
      <c r="BF57" s="138"/>
      <c r="BG57" s="138"/>
      <c r="BH57" s="138"/>
      <c r="BI57" s="138"/>
      <c r="BJ57" s="138"/>
    </row>
    <row r="58" spans="1:62" ht="15" customHeight="1">
      <c r="A58" s="138"/>
      <c r="B58" s="642"/>
      <c r="C58" s="872" t="str">
        <f>IF(Tool!$H$7="Français",G58,IF(Tool!$H$7="Italiano",I58,E58))</f>
        <v xml:space="preserve">Wurden in der frühen Planungsphase (strategische Planung, Vorstudien) Massnahmen zum Klimaschutz beim Bauvorhaben spezifisch mit Fachplanenden evaluiert? </v>
      </c>
      <c r="D58" s="642"/>
      <c r="E58" s="643" t="s">
        <v>555</v>
      </c>
      <c r="F58" s="642"/>
      <c r="G58" s="643" t="s">
        <v>1717</v>
      </c>
      <c r="H58" s="929"/>
      <c r="I58" s="929" t="s">
        <v>1691</v>
      </c>
      <c r="J58" s="642"/>
      <c r="K58" s="644"/>
      <c r="L58" s="645"/>
      <c r="M58" s="645"/>
      <c r="N58" s="645"/>
      <c r="O58" s="645"/>
      <c r="P58" s="646"/>
      <c r="Q58" s="642"/>
      <c r="R58" s="644"/>
      <c r="S58" s="645"/>
      <c r="T58" s="645"/>
      <c r="U58" s="645"/>
      <c r="V58" s="645"/>
      <c r="W58" s="646"/>
      <c r="X58" s="642"/>
      <c r="Y58" s="644"/>
      <c r="Z58" s="645"/>
      <c r="AA58" s="645"/>
      <c r="AB58" s="645"/>
      <c r="AC58" s="645"/>
      <c r="AD58" s="646"/>
      <c r="AE58" s="138"/>
      <c r="AF58" s="746"/>
      <c r="AG58" s="746"/>
      <c r="AH58" s="746"/>
      <c r="AI58" s="746"/>
      <c r="AJ58" s="138"/>
      <c r="AK58" s="2094"/>
      <c r="AL58" s="837"/>
      <c r="AM58" s="491"/>
      <c r="AN58" s="1294"/>
      <c r="AO58" s="751" t="str">
        <f>IF(Tool!$H$7="Français",
"Eau",IF(Tool!$H$7="Italiano",
"Acqua",
"Wasser"))</f>
        <v>Wasser</v>
      </c>
      <c r="AP58" s="837"/>
      <c r="AQ58" s="728">
        <v>342</v>
      </c>
      <c r="AR58" s="751" t="str">
        <f>IF(Tool!$H$7="Français",
"Eau",IF(Tool!$H$7="Italiano",
"Acqua",
"Wasser"))</f>
        <v>Wasser</v>
      </c>
      <c r="AS58" s="114">
        <f>IF(AS293="NB",0,
IF(AS293&gt;=0.85,2,
IF(AS293&gt;=0.65,1,
IF(AS293&gt;=0.5,-1,
IF(AS293&lt;0.5,-2,0)))))</f>
        <v>0</v>
      </c>
      <c r="AT58" s="746"/>
      <c r="AU58" s="746"/>
      <c r="AV58" s="746"/>
      <c r="AW58" s="746"/>
      <c r="AX58" s="746"/>
      <c r="AY58" s="810"/>
      <c r="AZ58" s="746"/>
      <c r="BA58" s="746"/>
      <c r="BB58" s="138"/>
      <c r="BC58" s="138"/>
      <c r="BD58" s="138"/>
      <c r="BE58" s="138"/>
      <c r="BF58" s="138"/>
      <c r="BG58" s="138"/>
      <c r="BH58" s="138"/>
      <c r="BI58" s="138"/>
      <c r="BJ58" s="138"/>
    </row>
    <row r="59" spans="1:62" ht="15" customHeight="1">
      <c r="A59" s="138"/>
      <c r="B59" s="642"/>
      <c r="C59" s="872" t="str">
        <f>IF(Tool!$H$7="Français",G59,IF(Tool!$H$7="Italiano",I59,E59))</f>
        <v>Wurden in der frühen Planungsphase (strategische Planung) Massnahmen zur Klimaanpas-sung beim Bauvorhaben spezifisch mit Fachplanenden evaluiert?</v>
      </c>
      <c r="D59" s="642"/>
      <c r="E59" s="643" t="s">
        <v>556</v>
      </c>
      <c r="F59" s="642"/>
      <c r="G59" s="643" t="s">
        <v>1718</v>
      </c>
      <c r="H59" s="929"/>
      <c r="I59" s="929" t="s">
        <v>1692</v>
      </c>
      <c r="J59" s="642"/>
      <c r="K59" s="644"/>
      <c r="L59" s="645"/>
      <c r="M59" s="645"/>
      <c r="N59" s="645"/>
      <c r="O59" s="645"/>
      <c r="P59" s="646"/>
      <c r="Q59" s="642"/>
      <c r="R59" s="644"/>
      <c r="S59" s="645"/>
      <c r="T59" s="645"/>
      <c r="U59" s="645"/>
      <c r="V59" s="645"/>
      <c r="W59" s="646"/>
      <c r="X59" s="642"/>
      <c r="Y59" s="644"/>
      <c r="Z59" s="645"/>
      <c r="AA59" s="645"/>
      <c r="AB59" s="645"/>
      <c r="AC59" s="645"/>
      <c r="AD59" s="646"/>
      <c r="AE59" s="138"/>
      <c r="AF59" s="746"/>
      <c r="AG59" s="746"/>
      <c r="AH59" s="746"/>
      <c r="AI59" s="746"/>
      <c r="AJ59" s="138"/>
      <c r="AK59" s="2095"/>
      <c r="AL59" s="839"/>
      <c r="AM59" s="840"/>
      <c r="AN59" s="1296"/>
      <c r="AO59" s="847" t="str">
        <f>IF(Tool!$H$7="Français",
"Mitage du territoire",IF(Tool!$H$7="Italiano",
"Uso parsimonioso del suolo",
"Haushälterische Bodennutz."))</f>
        <v>Haushälterische Bodennutz.</v>
      </c>
      <c r="AP59" s="839"/>
      <c r="AQ59" s="846">
        <v>343</v>
      </c>
      <c r="AR59" s="847" t="str">
        <f>IF(Tool!$H$7="Français",
"Mitage du territoire",IF(Tool!$H$7="Italiano",
"Uso parsimonioso del suolo",
"Haushälterische Bodennutzung"))</f>
        <v>Haushälterische Bodennutzung</v>
      </c>
      <c r="AS59" s="1118">
        <f>IF(AS303="NB",0,
IF(AS303&gt;=0.85,2,
IF(AS303&gt;=0.65,1,
IF(AS303&gt;=0.5,-1,
IF(AS303&lt;0.5,-2,0)))))</f>
        <v>0</v>
      </c>
      <c r="AT59" s="811"/>
      <c r="AU59" s="811"/>
      <c r="AV59" s="811"/>
      <c r="AW59" s="811"/>
      <c r="AX59" s="811"/>
      <c r="AY59" s="812"/>
      <c r="AZ59" s="746"/>
      <c r="BA59" s="746"/>
      <c r="BB59" s="138"/>
      <c r="BC59" s="138"/>
      <c r="BD59" s="138"/>
      <c r="BE59" s="138"/>
      <c r="BF59" s="138"/>
      <c r="BG59" s="138"/>
      <c r="BH59" s="138"/>
      <c r="BI59" s="138"/>
      <c r="BJ59" s="138"/>
    </row>
    <row r="60" spans="1:62" ht="15" customHeight="1">
      <c r="A60" s="138"/>
      <c r="B60" s="642"/>
      <c r="C60" s="872" t="str">
        <f>IF(Tool!$H$7="Français",G60,IF(Tool!$H$7="Italiano",I60,E60))</f>
        <v>Sind die evaluierten Ziele zu Klimaschutz und Klimaanpassung als verbindliche Vorgaben in die Pflichtenhefte des Bauvorhabens aufgenommen worden?</v>
      </c>
      <c r="D60" s="642"/>
      <c r="E60" s="643" t="s">
        <v>606</v>
      </c>
      <c r="F60" s="642"/>
      <c r="G60" s="643" t="s">
        <v>1719</v>
      </c>
      <c r="H60" s="929"/>
      <c r="I60" s="929" t="s">
        <v>607</v>
      </c>
      <c r="J60" s="642"/>
      <c r="K60" s="644"/>
      <c r="L60" s="645"/>
      <c r="M60" s="645"/>
      <c r="N60" s="645"/>
      <c r="O60" s="645"/>
      <c r="P60" s="646"/>
      <c r="Q60" s="642"/>
      <c r="R60" s="644"/>
      <c r="S60" s="645"/>
      <c r="T60" s="645"/>
      <c r="U60" s="645"/>
      <c r="V60" s="645"/>
      <c r="W60" s="646"/>
      <c r="X60" s="642"/>
      <c r="Y60" s="644"/>
      <c r="Z60" s="645"/>
      <c r="AA60" s="645"/>
      <c r="AB60" s="645"/>
      <c r="AC60" s="645"/>
      <c r="AD60" s="646"/>
      <c r="AE60" s="138"/>
      <c r="AF60" s="746"/>
      <c r="AG60" s="746"/>
      <c r="AH60" s="746"/>
      <c r="AI60" s="746"/>
      <c r="AJ60" s="746"/>
      <c r="AK60" s="746"/>
      <c r="AL60" s="746"/>
      <c r="AM60" s="746"/>
      <c r="AN60" s="746"/>
      <c r="AO60" s="746"/>
      <c r="AP60" s="746"/>
      <c r="AQ60" s="746"/>
      <c r="AR60" s="746"/>
      <c r="AS60" s="746"/>
      <c r="AT60" s="746"/>
      <c r="AU60" s="746"/>
      <c r="AV60" s="746"/>
      <c r="AW60" s="746"/>
      <c r="AX60" s="746"/>
      <c r="AY60" s="746"/>
      <c r="AZ60" s="746"/>
      <c r="BA60" s="746"/>
      <c r="BB60" s="138"/>
      <c r="BC60" s="138"/>
      <c r="BD60" s="138"/>
      <c r="BE60" s="138"/>
      <c r="BF60" s="138"/>
      <c r="BG60" s="138"/>
      <c r="BH60" s="138"/>
      <c r="BI60" s="138"/>
      <c r="BJ60" s="138"/>
    </row>
    <row r="61" spans="1:62" ht="15" customHeight="1">
      <c r="A61" s="138"/>
      <c r="B61" s="498">
        <v>112</v>
      </c>
      <c r="C61" s="870" t="str">
        <f>IF(Tool!$H$7="Français",G61,IF(Tool!$H$7="Italiano",I61,E61))</f>
        <v xml:space="preserve">Wird das Projekt im Rahmen eines Wettbewerbs oder einem Studienauftrag mit Planerwahlverfahren erarbeitet? (im Idealfall gemäss Ordnung SIA 142 oder 143) (Wettbewerb nach SIA 142:2009 ''Ordnung für Architektur- und Ingenieurwettbewerbe'', Studienauftrag nach SIA 143:2009 ''Ordnung für Architektur- und Ingenieurstudienaufträge'')     </v>
      </c>
      <c r="D61" s="498">
        <f>$B61</f>
        <v>112</v>
      </c>
      <c r="E61" s="506" t="s">
        <v>1983</v>
      </c>
      <c r="F61" s="498">
        <f>$B61</f>
        <v>112</v>
      </c>
      <c r="G61" s="506" t="s">
        <v>1720</v>
      </c>
      <c r="H61" s="498">
        <f>$B61</f>
        <v>112</v>
      </c>
      <c r="I61" s="506" t="s">
        <v>1981</v>
      </c>
      <c r="J61" s="498">
        <f>$B61</f>
        <v>112</v>
      </c>
      <c r="K61" s="501"/>
      <c r="L61" s="502"/>
      <c r="M61" s="502"/>
      <c r="N61" s="502"/>
      <c r="O61" s="502"/>
      <c r="P61" s="503"/>
      <c r="Q61" s="498">
        <f>$B61</f>
        <v>112</v>
      </c>
      <c r="R61" s="501"/>
      <c r="S61" s="502"/>
      <c r="T61" s="502"/>
      <c r="U61" s="502"/>
      <c r="V61" s="502"/>
      <c r="W61" s="503"/>
      <c r="X61" s="498">
        <f>$B61</f>
        <v>112</v>
      </c>
      <c r="Y61" s="501"/>
      <c r="Z61" s="502"/>
      <c r="AA61" s="502"/>
      <c r="AB61" s="502"/>
      <c r="AC61" s="502"/>
      <c r="AD61" s="503"/>
      <c r="AE61" s="138"/>
      <c r="AF61" s="746"/>
      <c r="AG61" s="746"/>
      <c r="AH61" s="746"/>
      <c r="AI61" s="746"/>
      <c r="AJ61" s="746"/>
      <c r="AK61" s="746"/>
      <c r="AL61" s="746"/>
      <c r="AM61" s="746"/>
      <c r="AN61" s="746"/>
      <c r="AO61" s="746"/>
      <c r="AP61" s="746"/>
      <c r="AQ61" s="746"/>
      <c r="AR61" s="746"/>
      <c r="AS61" s="746"/>
      <c r="AT61" s="746"/>
      <c r="AU61" s="746"/>
      <c r="AV61" s="746"/>
      <c r="AW61" s="746"/>
      <c r="AX61" s="746"/>
      <c r="AY61" s="746"/>
      <c r="AZ61" s="746"/>
      <c r="BA61" s="746"/>
      <c r="BB61" s="138"/>
      <c r="BC61" s="138"/>
      <c r="BD61" s="138"/>
      <c r="BE61" s="138"/>
      <c r="BF61" s="138"/>
      <c r="BG61" s="138"/>
      <c r="BH61" s="138"/>
      <c r="BI61" s="138"/>
      <c r="BJ61" s="138"/>
    </row>
    <row r="62" spans="1:62" ht="15" customHeight="1">
      <c r="A62" s="138"/>
      <c r="B62" s="498"/>
      <c r="C62" s="870" t="str">
        <f>IF(Tool!$H$7="Français",G62,IF(Tool!$H$7="Italiano",I62,E62))</f>
        <v>Wurde ein Planerwahlverfahren durchgeführt? (Im Idealfall gemäss Ordnung SIA 144)</v>
      </c>
      <c r="D62" s="498"/>
      <c r="E62" s="506" t="str">
        <f>IF(AG26=AG6,O62,"Wurde ein Planerwahlverfahren durchgeführt? (Im Idealfall gemäss Ordnung SIA 144)")</f>
        <v>Wurde ein Planerwahlverfahren durchgeführt? (Im Idealfall gemäss Ordnung SIA 144)</v>
      </c>
      <c r="F62" s="498"/>
      <c r="G62" s="506" t="str">
        <f>IF(AG26=AG6,V62,"Le projet a-t-il fait l'objet d'une procédure de sélection ? (Conformément au règlement SIA 144 dans l'idéal)")</f>
        <v>Le projet a-t-il fait l'objet d'une procédure de sélection ? (Conformément au règlement SIA 144 dans l'idéal)</v>
      </c>
      <c r="H62" s="498"/>
      <c r="I62" s="500" t="str">
        <f>IF(AG26=AG6,AC62,"È stata eseguita una procedura di selezione dei pianificatori? (Idealmente in conformità alla norma SIA 144)")</f>
        <v>È stata eseguita una procedura di selezione dei pianificatori? (Idealmente in conformità alla norma SIA 144)</v>
      </c>
      <c r="J62" s="498"/>
      <c r="K62" s="501"/>
      <c r="L62" s="502"/>
      <c r="M62" s="502"/>
      <c r="N62" s="502"/>
      <c r="O62" s="502" t="s">
        <v>296</v>
      </c>
      <c r="P62" s="503"/>
      <c r="Q62" s="498"/>
      <c r="R62" s="501"/>
      <c r="S62" s="502"/>
      <c r="T62" s="502"/>
      <c r="U62" s="502"/>
      <c r="V62" s="502" t="s">
        <v>386</v>
      </c>
      <c r="W62" s="503"/>
      <c r="X62" s="498"/>
      <c r="Y62" s="501"/>
      <c r="Z62" s="502"/>
      <c r="AA62" s="502"/>
      <c r="AB62" s="502"/>
      <c r="AC62" s="502" t="s">
        <v>1709</v>
      </c>
      <c r="AD62" s="503"/>
      <c r="AE62" s="138" t="s">
        <v>28</v>
      </c>
      <c r="AF62" s="746"/>
      <c r="AG62" s="746"/>
      <c r="AH62" s="746"/>
      <c r="AI62" s="746"/>
      <c r="AJ62" s="746"/>
      <c r="AK62" s="746"/>
      <c r="AL62" s="746"/>
      <c r="AM62" s="746"/>
      <c r="AN62" s="746"/>
      <c r="AO62" s="746"/>
      <c r="AP62" s="746"/>
      <c r="AQ62" s="746"/>
      <c r="AR62" s="746"/>
      <c r="AS62" s="746"/>
      <c r="AT62" s="746"/>
      <c r="AU62" s="746"/>
      <c r="AV62" s="746"/>
      <c r="AW62" s="746"/>
      <c r="AX62" s="746"/>
      <c r="AY62" s="746"/>
      <c r="AZ62" s="746"/>
      <c r="BA62" s="746"/>
      <c r="BB62" s="138"/>
      <c r="BC62" s="138"/>
      <c r="BD62" s="138"/>
      <c r="BE62" s="138"/>
      <c r="BF62" s="138"/>
      <c r="BG62" s="138"/>
      <c r="BH62" s="138"/>
      <c r="BI62" s="138"/>
      <c r="BJ62" s="138"/>
    </row>
    <row r="63" spans="1:62" ht="15" customHeight="1">
      <c r="A63" s="138"/>
      <c r="B63" s="498"/>
      <c r="C63" s="870" t="str">
        <f>IF(Tool!$H$7="Français",G63,IF(Tool!$H$7="Italiano",I63,E63))</f>
        <v>Ist eine hohe architektonische und städtebauliche Qualität durch den Beizug von qualifizierten Fachleuten gewährleistet bzw. vorhanden?</v>
      </c>
      <c r="D63" s="498"/>
      <c r="E63" s="506" t="str">
        <f>IF(OR(AG25=AF6,AG25=AF7),K63,"Ist eine hohe architektonische und städtebauliche Qualität durch den Beizug von qualifizierten Fachleuten gewährleistet bzw. vorhanden?")</f>
        <v>Ist eine hohe architektonische und städtebauliche Qualität durch den Beizug von qualifizierten Fachleuten gewährleistet bzw. vorhanden?</v>
      </c>
      <c r="F63" s="498"/>
      <c r="G63" s="506" t="str">
        <f>IF(OR(AG25=AF6,AG25=AF7),R63,"Le projet se distingue-t-il par une haute qualité architecturale assurée par la participation d'experts dans le domaine ?")</f>
        <v>Le projet se distingue-t-il par une haute qualité architecturale assurée par la participation d'experts dans le domaine ?</v>
      </c>
      <c r="H63" s="500"/>
      <c r="I63" s="500" t="str">
        <f>IF(OR(AG25=AF6,AG25=AF7),Y63,"Sono stati coinvolti degli esperti qualificati per garantire un elevato livello di qualità architettonica e urbanistica?")</f>
        <v>Sono stati coinvolti degli esperti qualificati per garantire un elevato livello di qualità architettonica e urbanistica?</v>
      </c>
      <c r="J63" s="498"/>
      <c r="K63" s="501" t="s">
        <v>609</v>
      </c>
      <c r="L63" s="502"/>
      <c r="M63" s="502"/>
      <c r="N63" s="502"/>
      <c r="O63" s="502"/>
      <c r="P63" s="503"/>
      <c r="Q63" s="498"/>
      <c r="R63" s="501" t="s">
        <v>611</v>
      </c>
      <c r="S63" s="502"/>
      <c r="T63" s="502"/>
      <c r="U63" s="502"/>
      <c r="V63" s="502"/>
      <c r="W63" s="503"/>
      <c r="X63" s="498"/>
      <c r="Y63" s="501" t="s">
        <v>610</v>
      </c>
      <c r="Z63" s="502"/>
      <c r="AA63" s="502"/>
      <c r="AB63" s="502"/>
      <c r="AC63" s="502"/>
      <c r="AD63" s="503"/>
      <c r="AE63" s="138" t="s">
        <v>28</v>
      </c>
      <c r="AF63" s="746"/>
      <c r="AG63" s="746"/>
      <c r="AH63" s="746"/>
      <c r="AI63" s="746"/>
      <c r="AJ63" s="746"/>
      <c r="AK63" s="746"/>
      <c r="AL63" s="746"/>
      <c r="AM63" s="746"/>
      <c r="AN63" s="746"/>
      <c r="AO63" s="746"/>
      <c r="AP63" s="746"/>
      <c r="AQ63" s="746"/>
      <c r="AR63" s="746"/>
      <c r="AS63" s="746">
        <f>IF(AS303="NB",0,
IF(AS303&gt;=0.85,2,
IF(AS303&gt;=0.65,1,
IF(AS303&gt;=0.5,-1,
IF(AS303&lt;0.5,-2,0)))))</f>
        <v>0</v>
      </c>
      <c r="AT63" s="746"/>
      <c r="AU63" s="746"/>
      <c r="AV63" s="746"/>
      <c r="AW63" s="746"/>
      <c r="AX63" s="746"/>
      <c r="AY63" s="746"/>
      <c r="AZ63" s="746"/>
      <c r="BA63" s="746"/>
      <c r="BB63" s="138"/>
      <c r="BC63" s="138"/>
      <c r="BD63" s="138"/>
      <c r="BE63" s="138"/>
      <c r="BF63" s="138"/>
      <c r="BG63" s="138"/>
      <c r="BH63" s="138"/>
      <c r="BI63" s="138"/>
      <c r="BJ63" s="138"/>
    </row>
    <row r="64" spans="1:62" ht="15" customHeight="1">
      <c r="A64" s="138"/>
      <c r="B64" s="498"/>
      <c r="C64" s="870" t="str">
        <f>IF(Tool!$H$7="Français",G64,IF(Tool!$H$7="Italiano",I64,E64))</f>
        <v>Zeichnet sich das Gebäude durch eine hohe Funktionalität aus, z. B. durch die Zweckmässigkeit der Raumorganisation und Eignung für die vorgesehene Nutzung?</v>
      </c>
      <c r="D64" s="498"/>
      <c r="E64" s="506" t="s">
        <v>734</v>
      </c>
      <c r="F64" s="498"/>
      <c r="G64" s="506" t="s">
        <v>347</v>
      </c>
      <c r="H64" s="500"/>
      <c r="I64" s="500" t="s">
        <v>1693</v>
      </c>
      <c r="J64" s="498"/>
      <c r="K64" s="501"/>
      <c r="L64" s="502"/>
      <c r="M64" s="502"/>
      <c r="N64" s="502"/>
      <c r="O64" s="502"/>
      <c r="P64" s="503"/>
      <c r="Q64" s="498"/>
      <c r="R64" s="501"/>
      <c r="S64" s="502"/>
      <c r="T64" s="502"/>
      <c r="U64" s="502"/>
      <c r="V64" s="502"/>
      <c r="W64" s="503"/>
      <c r="X64" s="498"/>
      <c r="Y64" s="501"/>
      <c r="Z64" s="502"/>
      <c r="AA64" s="502"/>
      <c r="AB64" s="502"/>
      <c r="AC64" s="502"/>
      <c r="AD64" s="503"/>
      <c r="AE64" s="138" t="s">
        <v>28</v>
      </c>
      <c r="AF64" s="746"/>
      <c r="AG64" s="746"/>
      <c r="AH64" s="746"/>
      <c r="AI64" s="746"/>
      <c r="AJ64" s="746"/>
      <c r="AK64" s="746"/>
      <c r="AL64" s="746"/>
      <c r="AM64" s="746"/>
      <c r="AN64" s="746"/>
      <c r="AO64" s="746"/>
      <c r="AP64" s="746"/>
      <c r="AQ64" s="746"/>
      <c r="AR64" s="746"/>
      <c r="AS64" s="746">
        <f>IF(AS304="NB",0,
IF(AS304&gt;=0.85,2,
IF(AS304&gt;=0.65,1,
IF(AS304&gt;=0.5,-1,
IF(AS304&lt;0.5,-2,0)))))</f>
        <v>-2</v>
      </c>
      <c r="AT64" s="746"/>
      <c r="AU64" s="746"/>
      <c r="AV64" s="746"/>
      <c r="AW64" s="746"/>
      <c r="AX64" s="746"/>
      <c r="AY64" s="746"/>
      <c r="AZ64" s="746"/>
      <c r="BA64" s="746"/>
      <c r="BB64" s="138"/>
      <c r="BC64" s="138"/>
      <c r="BD64" s="138"/>
      <c r="BE64" s="138"/>
      <c r="BF64" s="138"/>
      <c r="BG64" s="138"/>
      <c r="BH64" s="138"/>
      <c r="BI64" s="138"/>
      <c r="BJ64" s="138"/>
    </row>
    <row r="65" spans="1:62" ht="15" customHeight="1">
      <c r="A65" s="138"/>
      <c r="B65" s="927" t="str">
        <f>IF(OR(Tool!H$7="Deutsch",Tool!H$7=""),"K112a","C112a")</f>
        <v>K112a</v>
      </c>
      <c r="C65" s="872" t="str">
        <f>IF(Tool!$H$7="Français",G65,IF(Tool!$H$7="Italiano",I65,E65))</f>
        <v>Wurden beim Bauvorhaben städtebauliche und architektonische Aspekte im Zusammenhang mit dem Klimawandel (z. B. Gebäudestellung zur Windrichtung) explizit berücksichtigt und Vorgaben dazu befolgt?</v>
      </c>
      <c r="D65" s="642" t="str">
        <f>$B65</f>
        <v>K112a</v>
      </c>
      <c r="E65" s="928" t="s">
        <v>735</v>
      </c>
      <c r="F65" s="642" t="str">
        <f>$B65</f>
        <v>K112a</v>
      </c>
      <c r="G65" s="928" t="s">
        <v>471</v>
      </c>
      <c r="H65" s="642" t="str">
        <f>$B65</f>
        <v>K112a</v>
      </c>
      <c r="I65" s="934" t="s">
        <v>1694</v>
      </c>
      <c r="J65" s="642" t="str">
        <f>$B65</f>
        <v>K112a</v>
      </c>
      <c r="K65" s="930"/>
      <c r="L65" s="931"/>
      <c r="M65" s="931"/>
      <c r="N65" s="931"/>
      <c r="O65" s="931"/>
      <c r="P65" s="932"/>
      <c r="Q65" s="642" t="str">
        <f>$B65</f>
        <v>K112a</v>
      </c>
      <c r="R65" s="930"/>
      <c r="S65" s="931"/>
      <c r="T65" s="931"/>
      <c r="U65" s="931"/>
      <c r="V65" s="931"/>
      <c r="W65" s="932"/>
      <c r="X65" s="642" t="str">
        <f>$B65</f>
        <v>K112a</v>
      </c>
      <c r="Y65" s="930"/>
      <c r="Z65" s="931"/>
      <c r="AA65" s="931"/>
      <c r="AB65" s="931"/>
      <c r="AC65" s="931"/>
      <c r="AD65" s="932"/>
      <c r="AE65" s="138" t="s">
        <v>28</v>
      </c>
      <c r="AF65" s="746"/>
      <c r="AG65" s="746"/>
      <c r="AH65" s="746"/>
      <c r="AI65" s="746"/>
      <c r="AJ65" s="746"/>
      <c r="AK65" s="746"/>
      <c r="AL65" s="746"/>
      <c r="AM65" s="746"/>
      <c r="AN65" s="746"/>
      <c r="AO65" s="746"/>
      <c r="AP65" s="746"/>
      <c r="AQ65" s="746"/>
      <c r="AR65" s="746"/>
      <c r="AS65" s="746"/>
      <c r="AT65" s="746"/>
      <c r="AU65" s="746"/>
      <c r="AV65" s="746"/>
      <c r="AW65" s="746"/>
      <c r="AX65" s="746"/>
      <c r="AY65" s="746"/>
      <c r="AZ65" s="746"/>
      <c r="BA65" s="746"/>
      <c r="BB65" s="138"/>
      <c r="BC65" s="138"/>
      <c r="BD65" s="138"/>
      <c r="BE65" s="138"/>
      <c r="BF65" s="138"/>
      <c r="BG65" s="138"/>
      <c r="BH65" s="138"/>
      <c r="BI65" s="138"/>
      <c r="BJ65" s="138"/>
    </row>
    <row r="66" spans="1:62" ht="15" customHeight="1">
      <c r="A66" s="310"/>
      <c r="B66" s="927"/>
      <c r="C66" s="872" t="str">
        <f>IF(Tool!$H$7="Français",G66,IF(Tool!$H$7="Italiano",I66,E66))</f>
        <v>Werden Windrichtung und Luftströme im städtebaulichen Kontext analysiert?</v>
      </c>
      <c r="D66" s="927"/>
      <c r="E66" s="928" t="s">
        <v>612</v>
      </c>
      <c r="F66" s="927"/>
      <c r="G66" s="928" t="s">
        <v>613</v>
      </c>
      <c r="H66" s="929"/>
      <c r="I66" s="929" t="s">
        <v>1695</v>
      </c>
      <c r="J66" s="927"/>
      <c r="K66" s="930"/>
      <c r="L66" s="931"/>
      <c r="M66" s="931"/>
      <c r="N66" s="931"/>
      <c r="O66" s="931"/>
      <c r="P66" s="932"/>
      <c r="Q66" s="927"/>
      <c r="R66" s="930"/>
      <c r="S66" s="931"/>
      <c r="T66" s="931"/>
      <c r="U66" s="931"/>
      <c r="V66" s="931"/>
      <c r="W66" s="932"/>
      <c r="X66" s="927"/>
      <c r="Y66" s="930"/>
      <c r="Z66" s="931"/>
      <c r="AA66" s="931"/>
      <c r="AB66" s="931"/>
      <c r="AC66" s="931"/>
      <c r="AD66" s="932"/>
      <c r="AE66" s="138" t="s">
        <v>28</v>
      </c>
      <c r="AF66" s="746"/>
      <c r="AG66" s="746"/>
      <c r="AH66" s="746"/>
      <c r="AI66" s="746"/>
      <c r="AJ66" s="746"/>
      <c r="AK66" s="746"/>
      <c r="AL66" s="746"/>
      <c r="AM66" s="746"/>
      <c r="AN66" s="746"/>
      <c r="AO66" s="746"/>
      <c r="AP66" s="746"/>
      <c r="AQ66" s="746"/>
      <c r="AR66" s="746"/>
      <c r="AS66" s="746"/>
      <c r="AT66" s="746"/>
      <c r="AU66" s="746"/>
      <c r="AV66" s="746"/>
      <c r="AW66" s="746"/>
      <c r="AX66" s="746"/>
      <c r="AY66" s="746"/>
      <c r="AZ66" s="746"/>
      <c r="BA66" s="746"/>
      <c r="BB66" s="138"/>
      <c r="BC66" s="138"/>
      <c r="BD66" s="138"/>
      <c r="BE66" s="138"/>
      <c r="BF66" s="138"/>
      <c r="BG66" s="138"/>
      <c r="BH66" s="138"/>
      <c r="BI66" s="138"/>
      <c r="BJ66" s="138"/>
    </row>
    <row r="67" spans="1:62" ht="15" customHeight="1">
      <c r="A67" s="138"/>
      <c r="B67" s="927"/>
      <c r="C67" s="872" t="str">
        <f>IF(Tool!$H$7="Français",G67,IF(Tool!$H$7="Italiano",I67,E67))</f>
        <v>Werden die Potentiale zur stadtklimatischen Nutzung von nahegelegenen Wäldern und Grünflächen analysiert?</v>
      </c>
      <c r="D67" s="927"/>
      <c r="E67" s="928" t="s">
        <v>1373</v>
      </c>
      <c r="F67" s="927"/>
      <c r="G67" s="928" t="s">
        <v>1721</v>
      </c>
      <c r="H67" s="929"/>
      <c r="I67" s="934" t="s">
        <v>1696</v>
      </c>
      <c r="J67" s="927"/>
      <c r="K67" s="930"/>
      <c r="L67" s="931"/>
      <c r="M67" s="931"/>
      <c r="N67" s="931"/>
      <c r="O67" s="931"/>
      <c r="P67" s="932"/>
      <c r="Q67" s="927"/>
      <c r="R67" s="930"/>
      <c r="S67" s="931"/>
      <c r="T67" s="931"/>
      <c r="U67" s="931"/>
      <c r="V67" s="931"/>
      <c r="W67" s="932"/>
      <c r="X67" s="927"/>
      <c r="Y67" s="930"/>
      <c r="Z67" s="931"/>
      <c r="AA67" s="931"/>
      <c r="AB67" s="931"/>
      <c r="AC67" s="931"/>
      <c r="AD67" s="932"/>
      <c r="AE67" s="138" t="s">
        <v>28</v>
      </c>
      <c r="AF67" s="746"/>
      <c r="AG67" s="746"/>
      <c r="AH67" s="746"/>
      <c r="AI67" s="746"/>
      <c r="AJ67" s="746"/>
      <c r="AK67" s="746"/>
      <c r="AL67" s="746"/>
      <c r="AM67" s="746"/>
      <c r="AN67" s="746"/>
      <c r="AO67" s="746"/>
      <c r="AP67" s="746"/>
      <c r="AQ67" s="746"/>
      <c r="AR67" s="746"/>
      <c r="AS67" s="746"/>
      <c r="AT67" s="746"/>
      <c r="AU67" s="746"/>
      <c r="AV67" s="746"/>
      <c r="AW67" s="746"/>
      <c r="AX67" s="746"/>
      <c r="AY67" s="746"/>
      <c r="AZ67" s="746"/>
      <c r="BA67" s="746"/>
      <c r="BB67" s="138"/>
      <c r="BC67" s="138"/>
      <c r="BD67" s="138"/>
      <c r="BE67" s="138"/>
      <c r="BF67" s="138"/>
      <c r="BG67" s="138"/>
      <c r="BH67" s="138"/>
      <c r="BI67" s="138"/>
      <c r="BJ67" s="138"/>
    </row>
    <row r="68" spans="1:62" ht="15" customHeight="1">
      <c r="A68" s="138"/>
      <c r="B68" s="927"/>
      <c r="C68" s="872" t="str">
        <f>IF(Tool!$H$7="Français",G68,IF(Tool!$H$7="Italiano",I68,E68))</f>
        <v>Tragen die Anordnung der Gebäudegeometrie und die Umgebungsplanung zur Bildung von Kaltluftschneisen und Grünkorridoren bei?</v>
      </c>
      <c r="D68" s="927"/>
      <c r="E68" s="928" t="s">
        <v>1620</v>
      </c>
      <c r="F68" s="927"/>
      <c r="G68" s="928" t="s">
        <v>615</v>
      </c>
      <c r="H68" s="929"/>
      <c r="I68" s="929" t="s">
        <v>614</v>
      </c>
      <c r="J68" s="927"/>
      <c r="K68" s="930"/>
      <c r="L68" s="931"/>
      <c r="M68" s="931"/>
      <c r="N68" s="931"/>
      <c r="O68" s="931"/>
      <c r="P68" s="932"/>
      <c r="Q68" s="927"/>
      <c r="R68" s="930"/>
      <c r="S68" s="931"/>
      <c r="T68" s="931"/>
      <c r="U68" s="931"/>
      <c r="V68" s="931"/>
      <c r="W68" s="932"/>
      <c r="X68" s="927"/>
      <c r="Y68" s="930"/>
      <c r="Z68" s="931"/>
      <c r="AA68" s="931"/>
      <c r="AB68" s="931"/>
      <c r="AC68" s="931"/>
      <c r="AD68" s="932"/>
      <c r="AE68" s="138"/>
      <c r="AF68" s="746"/>
      <c r="AG68" s="746"/>
      <c r="AH68" s="746"/>
      <c r="AI68" s="746"/>
      <c r="AJ68" s="746"/>
      <c r="AK68" s="746"/>
      <c r="AL68" s="746"/>
      <c r="AM68" s="746"/>
      <c r="AN68" s="746"/>
      <c r="AO68" s="746"/>
      <c r="AP68" s="746"/>
      <c r="AQ68" s="746"/>
      <c r="AR68" s="746"/>
      <c r="AS68" s="746"/>
      <c r="AT68" s="746"/>
      <c r="AU68" s="746"/>
      <c r="AV68" s="746"/>
      <c r="AW68" s="746"/>
      <c r="AX68" s="746"/>
      <c r="AY68" s="746"/>
      <c r="AZ68" s="746"/>
      <c r="BA68" s="746"/>
      <c r="BB68" s="138"/>
      <c r="BC68" s="138"/>
      <c r="BD68" s="138"/>
      <c r="BE68" s="138"/>
      <c r="BF68" s="138"/>
      <c r="BG68" s="138"/>
      <c r="BH68" s="138"/>
      <c r="BI68" s="138"/>
      <c r="BJ68" s="138"/>
    </row>
    <row r="69" spans="1:62" ht="15" customHeight="1">
      <c r="A69" s="138"/>
      <c r="B69" s="927" t="str">
        <f>IF(OR(Tool!H$7="Deutsch",Tool!H$7=""),"K112b","C112b")</f>
        <v>K112b</v>
      </c>
      <c r="C69" s="872" t="str">
        <f>IF(Tool!$H$7="Français",G69,IF(Tool!$H$7="Italiano",I69,E69))</f>
        <v xml:space="preserve">Zeigt die Bauherrschaft durch die Vorgabe eines CO2-Ziels sowie eines flexiblen Raumprogramms Offenheit für innovative Architekturlösungen, die klimarelevante Verbesserungen fördern, und werden im Planerwahlverfahren die Themen des Klimawandels berücksichtigt? </v>
      </c>
      <c r="D69" s="927" t="s">
        <v>514</v>
      </c>
      <c r="E69" s="928" t="s">
        <v>616</v>
      </c>
      <c r="F69" s="642" t="str">
        <f>$B69</f>
        <v>K112b</v>
      </c>
      <c r="G69" s="928" t="s">
        <v>1722</v>
      </c>
      <c r="H69" s="642" t="str">
        <f>$B69</f>
        <v>K112b</v>
      </c>
      <c r="I69" s="934" t="s">
        <v>1697</v>
      </c>
      <c r="J69" s="642" t="str">
        <f>$B69</f>
        <v>K112b</v>
      </c>
      <c r="K69" s="930"/>
      <c r="L69" s="931"/>
      <c r="M69" s="931"/>
      <c r="N69" s="931"/>
      <c r="O69" s="931"/>
      <c r="P69" s="932"/>
      <c r="Q69" s="642" t="str">
        <f>$B69</f>
        <v>K112b</v>
      </c>
      <c r="R69" s="930"/>
      <c r="S69" s="931"/>
      <c r="T69" s="931"/>
      <c r="U69" s="931"/>
      <c r="V69" s="931"/>
      <c r="W69" s="932"/>
      <c r="X69" s="642" t="str">
        <f>$B69</f>
        <v>K112b</v>
      </c>
      <c r="Y69" s="930"/>
      <c r="Z69" s="931"/>
      <c r="AA69" s="931"/>
      <c r="AB69" s="931"/>
      <c r="AC69" s="931"/>
      <c r="AD69" s="932"/>
      <c r="AE69" s="138"/>
      <c r="AF69" s="746"/>
      <c r="AG69" s="746"/>
      <c r="AH69" s="746"/>
      <c r="AI69" s="746"/>
      <c r="AJ69" s="746"/>
      <c r="AK69" s="746"/>
      <c r="AL69" s="746"/>
      <c r="AM69" s="746"/>
      <c r="AN69" s="746"/>
      <c r="AO69" s="746"/>
      <c r="AP69" s="746"/>
      <c r="AQ69" s="746"/>
      <c r="AR69" s="746"/>
      <c r="AS69" s="746"/>
      <c r="AT69" s="746"/>
      <c r="AU69" s="746"/>
      <c r="AV69" s="746"/>
      <c r="AW69" s="746"/>
      <c r="AX69" s="746"/>
      <c r="AY69" s="746"/>
      <c r="AZ69" s="746"/>
      <c r="BA69" s="746"/>
      <c r="BB69" s="138"/>
      <c r="BC69" s="138"/>
      <c r="BD69" s="138"/>
      <c r="BE69" s="138"/>
      <c r="BF69" s="138"/>
      <c r="BG69" s="138"/>
      <c r="BH69" s="138"/>
      <c r="BI69" s="138"/>
      <c r="BJ69" s="138"/>
    </row>
    <row r="70" spans="1:62" ht="15" customHeight="1">
      <c r="A70" s="138"/>
      <c r="B70" s="933"/>
      <c r="C70" s="872" t="str">
        <f>IF(Tool!$H$7="Français",G70,IF(Tool!$H$7="Italiano",I70,E70))</f>
        <v>Wurde ein flexibles Raumprogramm als Basis vorgegeben, das klimarelevante Innovationen und suffiziente Lösungen nicht durch starre Vorgaben einschränkt?</v>
      </c>
      <c r="D70" s="927"/>
      <c r="E70" s="928" t="s">
        <v>617</v>
      </c>
      <c r="F70" s="927"/>
      <c r="G70" s="928" t="s">
        <v>1723</v>
      </c>
      <c r="H70" s="929"/>
      <c r="I70" s="934" t="s">
        <v>1698</v>
      </c>
      <c r="J70" s="927"/>
      <c r="K70" s="930"/>
      <c r="L70" s="931"/>
      <c r="M70" s="931"/>
      <c r="N70" s="931"/>
      <c r="O70" s="931"/>
      <c r="P70" s="932"/>
      <c r="Q70" s="927"/>
      <c r="R70" s="930"/>
      <c r="S70" s="931"/>
      <c r="T70" s="931"/>
      <c r="U70" s="931"/>
      <c r="V70" s="931"/>
      <c r="W70" s="932"/>
      <c r="X70" s="927"/>
      <c r="Y70" s="930"/>
      <c r="Z70" s="931"/>
      <c r="AA70" s="931"/>
      <c r="AB70" s="931"/>
      <c r="AC70" s="931"/>
      <c r="AD70" s="932"/>
      <c r="AE70" s="138"/>
      <c r="AF70" s="2054" t="s">
        <v>438</v>
      </c>
      <c r="AG70" s="2055"/>
      <c r="AH70" s="2055"/>
      <c r="AI70" s="2055"/>
      <c r="AJ70" s="2055"/>
      <c r="AK70" s="2055"/>
      <c r="AL70" s="2055"/>
      <c r="AM70" s="2055"/>
      <c r="AN70" s="2055"/>
      <c r="AO70" s="2055"/>
      <c r="AP70" s="2055"/>
      <c r="AQ70" s="2055"/>
      <c r="AR70" s="2055"/>
      <c r="AS70" s="2055"/>
      <c r="AT70" s="2055"/>
      <c r="AU70" s="2055"/>
      <c r="AV70" s="2055"/>
      <c r="AW70" s="2055"/>
      <c r="AX70" s="2055"/>
      <c r="AY70" s="2055"/>
      <c r="AZ70" s="2055"/>
      <c r="BA70" s="2055"/>
      <c r="BB70" s="2055"/>
      <c r="BC70" s="2055"/>
      <c r="BD70" s="2055"/>
      <c r="BE70" s="2055"/>
      <c r="BF70" s="2055"/>
      <c r="BG70" s="2055"/>
      <c r="BH70" s="138"/>
      <c r="BI70" s="138"/>
      <c r="BJ70" s="138"/>
    </row>
    <row r="71" spans="1:62" ht="15" customHeight="1">
      <c r="A71" s="138"/>
      <c r="B71" s="927"/>
      <c r="C71" s="872" t="str">
        <f>IF(Tool!$H$7="Français",G71,IF(Tool!$H$7="Italiano",I71,E71))</f>
        <v>Wird bereits in der Ausschreibung oder im Wettbewerb eine CO2-Bilanz für das Bauvorhaben zwingend verlangt?</v>
      </c>
      <c r="D71" s="927"/>
      <c r="E71" s="928" t="s">
        <v>618</v>
      </c>
      <c r="F71" s="642"/>
      <c r="G71" s="928" t="s">
        <v>1724</v>
      </c>
      <c r="H71" s="642"/>
      <c r="I71" s="934" t="s">
        <v>1699</v>
      </c>
      <c r="J71" s="642"/>
      <c r="K71" s="930"/>
      <c r="L71" s="931"/>
      <c r="M71" s="931"/>
      <c r="N71" s="931"/>
      <c r="O71" s="931"/>
      <c r="P71" s="932"/>
      <c r="Q71" s="642"/>
      <c r="R71" s="930"/>
      <c r="S71" s="931"/>
      <c r="T71" s="931"/>
      <c r="U71" s="931"/>
      <c r="V71" s="931"/>
      <c r="W71" s="932"/>
      <c r="X71" s="642"/>
      <c r="Y71" s="930"/>
      <c r="Z71" s="931"/>
      <c r="AA71" s="931"/>
      <c r="AB71" s="931"/>
      <c r="AC71" s="931"/>
      <c r="AD71" s="932"/>
      <c r="AE71" s="138"/>
      <c r="AF71" s="2059" t="s">
        <v>461</v>
      </c>
      <c r="AG71" s="2060"/>
      <c r="AH71" s="2061" t="s">
        <v>1466</v>
      </c>
      <c r="AI71" s="2062"/>
      <c r="AJ71" s="2056" t="s">
        <v>45</v>
      </c>
      <c r="AK71" s="2057"/>
      <c r="AL71" s="2057"/>
      <c r="AM71" s="2057"/>
      <c r="AN71" s="2058"/>
      <c r="AO71" s="752" t="s">
        <v>32</v>
      </c>
      <c r="AP71" s="753"/>
      <c r="AQ71" s="754"/>
      <c r="AR71" s="854" t="s">
        <v>32</v>
      </c>
      <c r="AS71" s="997" t="s">
        <v>34</v>
      </c>
      <c r="AT71" s="998"/>
      <c r="AU71" s="999"/>
      <c r="AV71" s="1000" t="s">
        <v>587</v>
      </c>
      <c r="AW71" s="1001"/>
      <c r="AX71" s="1001"/>
      <c r="AY71" s="1002"/>
      <c r="BB71" s="997" t="s">
        <v>229</v>
      </c>
      <c r="BC71" s="998"/>
      <c r="BD71" s="998"/>
      <c r="BE71" s="999"/>
      <c r="BF71" s="997" t="s">
        <v>229</v>
      </c>
      <c r="BG71" s="998"/>
      <c r="BH71" s="998"/>
      <c r="BI71" s="999"/>
      <c r="BJ71" s="138"/>
    </row>
    <row r="72" spans="1:62" ht="15" customHeight="1">
      <c r="A72" s="138"/>
      <c r="B72" s="933"/>
      <c r="C72" s="872" t="str">
        <f>IF(Tool!$H$7="Français",G72,IF(Tool!$H$7="Italiano",I72,E72))</f>
        <v>Hat man beim Planerwahlverfahren Referenzen und Kompetenzen bezüglich der Klimawandelsensibilität berücksichtigt?</v>
      </c>
      <c r="D72" s="927"/>
      <c r="E72" s="928" t="s">
        <v>619</v>
      </c>
      <c r="F72" s="927"/>
      <c r="G72" s="928" t="s">
        <v>1725</v>
      </c>
      <c r="H72" s="929"/>
      <c r="I72" s="934" t="s">
        <v>1700</v>
      </c>
      <c r="J72" s="927"/>
      <c r="K72" s="930"/>
      <c r="L72" s="931"/>
      <c r="M72" s="931"/>
      <c r="N72" s="931"/>
      <c r="O72" s="931"/>
      <c r="P72" s="932"/>
      <c r="Q72" s="927"/>
      <c r="R72" s="930"/>
      <c r="S72" s="931"/>
      <c r="T72" s="931"/>
      <c r="U72" s="931"/>
      <c r="V72" s="931"/>
      <c r="W72" s="932"/>
      <c r="X72" s="927"/>
      <c r="Y72" s="930"/>
      <c r="Z72" s="931"/>
      <c r="AA72" s="931"/>
      <c r="AB72" s="931"/>
      <c r="AC72" s="931"/>
      <c r="AD72" s="932"/>
      <c r="AE72" s="138" t="s">
        <v>28</v>
      </c>
      <c r="AF72" s="378" t="s">
        <v>475</v>
      </c>
      <c r="AG72" s="401" t="s">
        <v>476</v>
      </c>
      <c r="AH72" s="401" t="s">
        <v>477</v>
      </c>
      <c r="AI72" s="401" t="s">
        <v>478</v>
      </c>
      <c r="AJ72" s="402" t="s">
        <v>43</v>
      </c>
      <c r="AK72" s="403" t="s">
        <v>27</v>
      </c>
      <c r="AL72" s="288" t="s">
        <v>44</v>
      </c>
      <c r="AM72" s="403" t="s">
        <v>1441</v>
      </c>
      <c r="AN72" s="403" t="s">
        <v>1442</v>
      </c>
      <c r="AO72" s="287" t="s">
        <v>35</v>
      </c>
      <c r="AP72" s="288" t="s">
        <v>47</v>
      </c>
      <c r="AQ72" s="289" t="s">
        <v>36</v>
      </c>
      <c r="AR72" s="854" t="s">
        <v>45</v>
      </c>
      <c r="AS72" s="404" t="s">
        <v>461</v>
      </c>
      <c r="AT72" s="855" t="s">
        <v>227</v>
      </c>
      <c r="AU72" s="856" t="s">
        <v>48</v>
      </c>
      <c r="AV72" s="697" t="s">
        <v>36</v>
      </c>
      <c r="AW72" s="785" t="s">
        <v>461</v>
      </c>
      <c r="AX72" s="785" t="s">
        <v>227</v>
      </c>
      <c r="AY72" s="699" t="s">
        <v>48</v>
      </c>
      <c r="AZ72" s="1481" t="s">
        <v>1630</v>
      </c>
      <c r="BA72" s="1481" t="s">
        <v>1631</v>
      </c>
      <c r="BB72" s="404" t="str">
        <f>IF(Tool!$H$7="Français",
"Rempli",
"Gut")</f>
        <v>Gut</v>
      </c>
      <c r="BC72" s="405" t="str">
        <f>IF(Tool!$H$7="Français",
"Suffisant",
"Genügend")</f>
        <v>Genügend</v>
      </c>
      <c r="BD72" s="405" t="str">
        <f>IF(Tool!$H$7="Français",
"insuffisant",
"Ungenügend")</f>
        <v>Ungenügend</v>
      </c>
      <c r="BE72" s="689" t="str">
        <f>IF(Tool!$H$7="Français",
"Obstacle",
"Stolperstein")</f>
        <v>Stolperstein</v>
      </c>
      <c r="BF72" s="404" t="str">
        <f>IF(Tool!$H$7="Français",
"Rempli",
"Gut")</f>
        <v>Gut</v>
      </c>
      <c r="BG72" s="405" t="str">
        <f>IF(Tool!$H$7="Français",
"Suffisant",
"Genügend")</f>
        <v>Genügend</v>
      </c>
      <c r="BH72" s="405" t="str">
        <f>IF(Tool!$H$7="Français",
"insuffisant",
"Ungenügend")</f>
        <v>Ungenügend</v>
      </c>
      <c r="BI72" s="689" t="str">
        <f>IF(Tool!$H$7="Français",
"Obstacle",
"Stolperstein")</f>
        <v>Stolperstein</v>
      </c>
      <c r="BJ72" s="138"/>
    </row>
    <row r="73" spans="1:62" ht="15" customHeight="1">
      <c r="A73" s="138"/>
      <c r="B73" s="498">
        <v>113</v>
      </c>
      <c r="C73" s="870" t="str">
        <f>IF(Tool!$H$7="Français",G73,IF(Tool!$H$7="Italiano",I73,E73))</f>
        <v xml:space="preserve">Wird beim Projekt der Dialog mit allen Interessengruppen (zukünftige Nutzende, Nachbarschaft, Verbände usw.) frühzeitig gesucht, um deren Teilhabe im Planungsprozess zu ermöglichen? </v>
      </c>
      <c r="D73" s="498">
        <f>$B73</f>
        <v>113</v>
      </c>
      <c r="E73" s="506" t="s">
        <v>622</v>
      </c>
      <c r="F73" s="498">
        <f>$B73</f>
        <v>113</v>
      </c>
      <c r="G73" s="506" t="s">
        <v>1726</v>
      </c>
      <c r="H73" s="498">
        <f>$B73</f>
        <v>113</v>
      </c>
      <c r="I73" s="925" t="s">
        <v>1701</v>
      </c>
      <c r="J73" s="498">
        <f>$B73</f>
        <v>113</v>
      </c>
      <c r="K73" s="501"/>
      <c r="L73" s="502"/>
      <c r="M73" s="502"/>
      <c r="N73" s="502"/>
      <c r="O73" s="502"/>
      <c r="P73" s="503"/>
      <c r="Q73" s="498">
        <f>$B73</f>
        <v>113</v>
      </c>
      <c r="R73" s="501"/>
      <c r="S73" s="502"/>
      <c r="T73" s="502"/>
      <c r="U73" s="502"/>
      <c r="V73" s="502"/>
      <c r="W73" s="503"/>
      <c r="X73" s="498">
        <f>$B73</f>
        <v>113</v>
      </c>
      <c r="Y73" s="501"/>
      <c r="Z73" s="502"/>
      <c r="AA73" s="502"/>
      <c r="AB73" s="502"/>
      <c r="AC73" s="502"/>
      <c r="AD73" s="503"/>
      <c r="AE73" s="138" t="s">
        <v>28</v>
      </c>
      <c r="AF73" s="822">
        <f>AQ23</f>
        <v>111</v>
      </c>
      <c r="AG73" s="823" t="str">
        <f>AR23</f>
        <v>Ziele &amp; Pflichtenhefte</v>
      </c>
      <c r="AH73" s="1017" t="s">
        <v>1632</v>
      </c>
      <c r="AI73" s="1018" t="s">
        <v>1633</v>
      </c>
      <c r="AJ73" s="514">
        <v>1</v>
      </c>
      <c r="AK73" s="514" t="s">
        <v>46</v>
      </c>
      <c r="AL73" s="515">
        <v>0</v>
      </c>
      <c r="AM73" s="516"/>
      <c r="AN73" s="516"/>
      <c r="AO73" s="516" t="str">
        <f>IF(Check!S142=$AQ$4,AJ73,IF(OR(Check!S142=$AQ$5,Check!S142=$AQ$6,Check!S142=$AU$6),AL73,"NB"))</f>
        <v>NB</v>
      </c>
      <c r="AP73" s="516"/>
      <c r="AQ73" s="516" t="str">
        <f>IF(AP73=1,1,
IF(AO73=1,1,
IF(COUNTIF(AO74:AO76,"NB"),"NB",
IF(SUM(AO74:AO76)&gt;1,1,
IF(AND(SUM(AO74:AO76)&gt;=0,SUM(AO74:AO76)&lt;=1),SUM(AO74:AO76),"NB")))))</f>
        <v>NB</v>
      </c>
      <c r="AR73" s="516"/>
      <c r="AS73" s="517" t="str">
        <f>IF(AQ73="NB","NB",AQ73)</f>
        <v>NB</v>
      </c>
      <c r="AT73" s="518" t="str">
        <f>IF(AND(AS73="NB",AS81="NB",AS93="NB"),"NB",SUM(AS73:AS104)/3)</f>
        <v>NB</v>
      </c>
      <c r="AU73" s="517" t="str">
        <f>IF(AND(AS73="NB",AS81="NB",AS93="NB",AS105="NB",AS115="NB",AS123="NB",AS133="NB",AS137="NB",AS142="NB",AS148="NB",AS153="NB",AS164="NB",AS169="NB",AS177="NB"),"NB",SUM(AS73:AS181)/14)</f>
        <v>NB</v>
      </c>
      <c r="AV73" s="1045"/>
      <c r="AW73" s="1484" t="str">
        <f>AS73</f>
        <v>NB</v>
      </c>
      <c r="AX73" s="1046" t="str">
        <f>IF(AND(AW73="NB",AW77="NB",AW81="NB",AW85="NB",AW89="NB",AW97="NB",AW101="NB"),"NB",SUM(AW73:AW104)/7)</f>
        <v>NB</v>
      </c>
      <c r="AY73" s="1047" t="str">
        <f>IF(AND(AW73="NB",AW77="NB",AW81="NB",AW85="NB",AW89="NB",AW97="NB",AW101="NB",AW105="NB",AW111="NB",AW119="NB",AW123="NB",AW128="NB",AW148="NB",AW153="NB",AW160="NB",AW173="NB"),"NB",SUM(AW73:AW181)/16)</f>
        <v>NB</v>
      </c>
      <c r="AZ73" s="1021" t="str">
        <f>AW73</f>
        <v>NB</v>
      </c>
      <c r="BA73" s="1539" t="str">
        <f>AW73</f>
        <v>NB</v>
      </c>
      <c r="BB73" s="702" t="str">
        <f>IF($AS$73="NB","",
IF($AS$73&gt;=0.85,AF73&amp;" "&amp;AG73&amp;"; ",""))</f>
        <v/>
      </c>
      <c r="BC73" s="581" t="str">
        <f>IF($AS$73="NB","",
IF(AND($AS$73&gt;=0.65,$AS$73&lt;0.85),AF73&amp;" "&amp;AG73&amp;"; ",""))</f>
        <v/>
      </c>
      <c r="BD73" s="407" t="str">
        <f>IF($AS$73="NB","",
IF(AND($AS$73&gt;=0.5,$AS$73&lt;0.65),AF73&amp;" "&amp;AG73&amp;"; ",""))</f>
        <v/>
      </c>
      <c r="BE73" s="1259" t="str">
        <f>IF($AS$73="NB","",
IF($AS$73&lt;0.5,AF73&amp;" "&amp;AG73&amp;"; ",""))</f>
        <v/>
      </c>
      <c r="BF73" s="702" t="str">
        <f>IF($AS$73="NB","",
IF($AS$73&gt;=0.85,AF73&amp;" ",""))</f>
        <v/>
      </c>
      <c r="BG73" s="581" t="str">
        <f>IF($AS$73="NB","",
IF(AND($AS$73&gt;=0.65,$AS$73&lt;0.85),AF73&amp;" ",""))</f>
        <v/>
      </c>
      <c r="BH73" s="407" t="str">
        <f>IF($AS$73="NB","",
IF(AND($AS$73&gt;=0.5,$AS$73&lt;0.65),AF73&amp;" ",""))</f>
        <v/>
      </c>
      <c r="BI73" s="1259" t="str">
        <f>IF($AS$73="NB","",
IF($AS$73&lt;0.5,AF73&amp;" ",""))</f>
        <v/>
      </c>
      <c r="BJ73" s="138"/>
    </row>
    <row r="74" spans="1:62" ht="15" customHeight="1">
      <c r="A74" s="138"/>
      <c r="B74" s="498"/>
      <c r="C74" s="870" t="str">
        <f>IF(Tool!$H$7="Français",G74,IF(Tool!$H$7="Italiano",I74,E74))</f>
        <v>Wurden Informationen zum Projekt niederschwellig zur Verfügung gestellt, z. B. online?</v>
      </c>
      <c r="D74" s="498"/>
      <c r="E74" s="506" t="s">
        <v>736</v>
      </c>
      <c r="F74" s="498"/>
      <c r="G74" s="506" t="s">
        <v>240</v>
      </c>
      <c r="H74" s="500"/>
      <c r="I74" s="925" t="s">
        <v>1702</v>
      </c>
      <c r="J74" s="498"/>
      <c r="K74" s="501"/>
      <c r="L74" s="502"/>
      <c r="M74" s="502"/>
      <c r="N74" s="502"/>
      <c r="O74" s="502"/>
      <c r="P74" s="503"/>
      <c r="Q74" s="498"/>
      <c r="R74" s="501"/>
      <c r="S74" s="502"/>
      <c r="T74" s="502"/>
      <c r="U74" s="502"/>
      <c r="V74" s="502"/>
      <c r="W74" s="503"/>
      <c r="X74" s="498"/>
      <c r="Y74" s="501"/>
      <c r="Z74" s="502"/>
      <c r="AA74" s="502"/>
      <c r="AB74" s="502"/>
      <c r="AC74" s="502"/>
      <c r="AD74" s="503"/>
      <c r="AE74" s="138" t="s">
        <v>28</v>
      </c>
      <c r="AF74" s="335"/>
      <c r="AG74" s="340"/>
      <c r="AH74" s="766"/>
      <c r="AI74" s="340"/>
      <c r="AJ74" s="43">
        <f>AJ73/3</f>
        <v>0.33333333333333331</v>
      </c>
      <c r="AK74" s="43">
        <f>AJ74*0.3</f>
        <v>9.9999999999999992E-2</v>
      </c>
      <c r="AL74" s="43">
        <v>0</v>
      </c>
      <c r="AM74" s="44"/>
      <c r="AN74" s="44"/>
      <c r="AO74" s="44" t="str">
        <f>IF(Check!S145=$AQ$4,AJ74,IF(Check!S145=$AQ$6,AK74,IF(OR(Check!S145=$AQ$5,AO73=""),AL74,"NB")))</f>
        <v>NB</v>
      </c>
      <c r="AP74" s="44"/>
      <c r="AQ74" s="44"/>
      <c r="AR74" s="44"/>
      <c r="AS74" s="41"/>
      <c r="AT74" s="41"/>
      <c r="AU74" s="41" t="str">
        <f>IF(AND(AS73="NB",AS81="NB",AS93="NB",AS105="NB",AS115="NB",AS123="NB",AS133="NB",AS137="NB",AS142="NB",AS148="NB",AS153="NB",AS164="NB",AS169="NB",AS177="NB",AS183="NB",AS191="NB",AS196="NB",AS201="NB",AS210="NB",AS214="NB",AS222="NB",AS224="NB",AS225="NB",AS233="NB",AS239="NB",AS249="NB",AS253="NB",AS258="NB",AS263="NB",AS267="NB",AS275="NB",AS281="NB",AS286="NB",AS293="NB",AS303="NB"),"NB",SUM(AS73:AS306)/35)</f>
        <v>NB</v>
      </c>
      <c r="AV74" s="442"/>
      <c r="AW74" s="44"/>
      <c r="AX74" s="41" t="s">
        <v>567</v>
      </c>
      <c r="AY74" s="1489" t="str">
        <f>IF(AND(AW73="NB",AW77="NB",AW81="NB",AW85="NB",AW89="NB",AW97="NB",AW101="NB",AW105="NB",AW111="NB",AW119="NB",AW123="NB",AW128="NB",AW148="NB",AW153="NB",AW160="NB",AW173="NB",AW183="NB",AW187="NB",AW196="NB",AW201="NB",AW206="NB",AW214="NB",AW218="NB",AW224="NB",AW239="NB",AW245="NB",AW246="NB",AW249="NB",AW258="NB",AW267="NB",AW271="NB",AW275="NB",AW281="NB",AW286="NB",AW293="NB",AW299="NB"),"NB",SUM(AW73:AW306)/36)</f>
        <v>NB</v>
      </c>
      <c r="AZ74" s="143"/>
      <c r="BA74" s="1490"/>
      <c r="BB74" s="577"/>
      <c r="BC74" s="582"/>
      <c r="BD74" s="398"/>
      <c r="BE74" s="579"/>
      <c r="BF74" s="577"/>
      <c r="BG74" s="582"/>
      <c r="BH74" s="398"/>
      <c r="BI74" s="579"/>
      <c r="BJ74" s="138"/>
    </row>
    <row r="75" spans="1:62" s="825" customFormat="1" ht="15" customHeight="1">
      <c r="A75" s="138"/>
      <c r="B75" s="498"/>
      <c r="C75" s="870" t="str">
        <f>IF(Tool!$H$7="Français",G75,IF(Tool!$H$7="Italiano",I75,E75))</f>
        <v>Werden zukünftige Nutzende über das Projekt direkt informiert und ihr Feedback in das Projekt einbezogen?</v>
      </c>
      <c r="D75" s="498"/>
      <c r="E75" s="506" t="str">
        <f>IF(AG26=AG4,L75,IF(AG26=AG5,M75,IF(AG26=AG6,O75,"Werden zukünftige Nutzende über das Projekt direkt informiert und ihr Feedback in das Projekt einbezogen?")))</f>
        <v>Werden zukünftige Nutzende über das Projekt direkt informiert und ihr Feedback in das Projekt einbezogen?</v>
      </c>
      <c r="F75" s="498"/>
      <c r="G75" s="506" t="str">
        <f>IF(AG26=AG4,S75,IF(AG26=AG5,T75,IF(AG26=AG6,V75,"Les futurs utilisateurs sont-ils directement informés du projet et leur feedback est-il pris en compte dans le projet ?")))</f>
        <v>Les futurs utilisateurs sont-ils directement informés du projet et leur feedback est-il pris en compte dans le projet ?</v>
      </c>
      <c r="H75" s="500"/>
      <c r="I75" s="925" t="str">
        <f>IF(AG26=AG4,Z75,IF(AG26=AG5,AA75,IF(AG26=AG6,AC75,"I futuri utenti vengono informati direttamente sul progetto e i loro feedback vengono incorporati nel progetto?")))</f>
        <v>I futuri utenti vengono informati direttamente sul progetto e i loro feedback vengono incorporati nel progetto?</v>
      </c>
      <c r="J75" s="498"/>
      <c r="K75" s="501"/>
      <c r="L75" s="502" t="s">
        <v>623</v>
      </c>
      <c r="M75" s="502" t="s">
        <v>625</v>
      </c>
      <c r="N75" s="502"/>
      <c r="O75" s="502" t="s">
        <v>627</v>
      </c>
      <c r="P75" s="503"/>
      <c r="Q75" s="498"/>
      <c r="R75" s="501"/>
      <c r="S75" s="502" t="s">
        <v>624</v>
      </c>
      <c r="T75" s="502" t="s">
        <v>626</v>
      </c>
      <c r="U75" s="502"/>
      <c r="V75" s="502" t="s">
        <v>628</v>
      </c>
      <c r="W75" s="503"/>
      <c r="X75" s="498"/>
      <c r="Y75" s="501"/>
      <c r="Z75" s="502" t="s">
        <v>1712</v>
      </c>
      <c r="AA75" s="502" t="s">
        <v>1713</v>
      </c>
      <c r="AB75" s="502"/>
      <c r="AC75" s="502" t="s">
        <v>1710</v>
      </c>
      <c r="AD75" s="503"/>
      <c r="AE75" s="138" t="s">
        <v>28</v>
      </c>
      <c r="AF75" s="335"/>
      <c r="AG75" s="340"/>
      <c r="AH75" s="766"/>
      <c r="AI75" s="340"/>
      <c r="AJ75" s="43">
        <f>AJ73/3</f>
        <v>0.33333333333333331</v>
      </c>
      <c r="AK75" s="43">
        <f t="shared" ref="AK75:AK76" si="6">AJ75*0.3</f>
        <v>9.9999999999999992E-2</v>
      </c>
      <c r="AL75" s="43">
        <v>0</v>
      </c>
      <c r="AM75" s="44"/>
      <c r="AN75" s="44"/>
      <c r="AO75" s="44" t="str">
        <f>IF(Check!S148=$AQ$4,AJ75,IF(Check!S148=$AQ$6,AK75,IF(OR(Check!S148=$AQ$5,AO73=""),AL75,"NB")))</f>
        <v>NB</v>
      </c>
      <c r="AP75" s="44"/>
      <c r="AQ75" s="44"/>
      <c r="AR75" s="44"/>
      <c r="AS75" s="41"/>
      <c r="AT75" s="41"/>
      <c r="AU75" s="41"/>
      <c r="AV75" s="442"/>
      <c r="AW75" s="44"/>
      <c r="AX75" s="41" t="s">
        <v>1634</v>
      </c>
      <c r="AY75" s="42" t="str">
        <f>IF(AND(AZ73="NB",AZ77="NB",AZ81="NB",AZ85="NB",AZ89="NB",AZ97="NB"),"NB",SUM(AZ73:AZ104)/6)</f>
        <v>NB</v>
      </c>
      <c r="AZ75" s="41"/>
      <c r="BA75" s="42"/>
      <c r="BB75" s="577"/>
      <c r="BC75" s="582"/>
      <c r="BD75" s="398"/>
      <c r="BE75" s="579"/>
      <c r="BF75" s="577"/>
      <c r="BG75" s="582"/>
      <c r="BH75" s="398"/>
      <c r="BI75" s="579"/>
    </row>
    <row r="76" spans="1:62" s="825" customFormat="1" ht="15" customHeight="1">
      <c r="A76" s="138"/>
      <c r="B76" s="498"/>
      <c r="C76" s="870" t="str">
        <f>IF(Tool!$H$7="Français",G76,IF(Tool!$H$7="Italiano",I76,E76))</f>
        <v>Wurden Lösungen bei Interessenskonflikten mit Nachbarn oder anderen Interessierten gesucht bzw. Interessenskonflikte gelöst?</v>
      </c>
      <c r="D76" s="498"/>
      <c r="E76" s="506" t="s">
        <v>620</v>
      </c>
      <c r="F76" s="498"/>
      <c r="G76" s="506" t="s">
        <v>1727</v>
      </c>
      <c r="H76" s="500"/>
      <c r="I76" s="925" t="s">
        <v>621</v>
      </c>
      <c r="J76" s="498"/>
      <c r="K76" s="501"/>
      <c r="L76" s="502"/>
      <c r="M76" s="502"/>
      <c r="N76" s="502"/>
      <c r="O76" s="502"/>
      <c r="P76" s="503"/>
      <c r="Q76" s="498"/>
      <c r="R76" s="501"/>
      <c r="S76" s="502"/>
      <c r="T76" s="502"/>
      <c r="U76" s="502"/>
      <c r="V76" s="502"/>
      <c r="W76" s="503"/>
      <c r="X76" s="498"/>
      <c r="Y76" s="501"/>
      <c r="Z76" s="502"/>
      <c r="AA76" s="502"/>
      <c r="AB76" s="502"/>
      <c r="AC76" s="502"/>
      <c r="AD76" s="503"/>
      <c r="AE76" s="138" t="s">
        <v>28</v>
      </c>
      <c r="AF76" s="335"/>
      <c r="AG76" s="340"/>
      <c r="AH76" s="766"/>
      <c r="AI76" s="340"/>
      <c r="AJ76" s="43">
        <f>AJ73/3</f>
        <v>0.33333333333333331</v>
      </c>
      <c r="AK76" s="43">
        <f t="shared" si="6"/>
        <v>9.9999999999999992E-2</v>
      </c>
      <c r="AL76" s="43">
        <v>0</v>
      </c>
      <c r="AM76" s="44"/>
      <c r="AN76" s="44"/>
      <c r="AO76" s="44" t="str">
        <f>IF(Check!S151=$AQ$4,AJ76,IF(Check!S151=$AQ$6,AK76,IF(OR(Check!S151=$AQ$5,AO73=""),AL76,"NB")))</f>
        <v>NB</v>
      </c>
      <c r="AP76" s="44"/>
      <c r="AQ76" s="44"/>
      <c r="AR76" s="44"/>
      <c r="AS76" s="41"/>
      <c r="AT76" s="41"/>
      <c r="AU76" s="41"/>
      <c r="AV76" s="442"/>
      <c r="AW76" s="44"/>
      <c r="AX76" s="41" t="s">
        <v>1635</v>
      </c>
      <c r="AY76" s="42" t="str">
        <f>IF(AND(BA73="NB",BA77="NB",BA81="NB",BA101="NB"),"NB",SUM(BA73:BA104)/4)</f>
        <v>NB</v>
      </c>
      <c r="AZ76" s="41"/>
      <c r="BA76" s="42"/>
      <c r="BB76" s="577"/>
      <c r="BC76" s="582"/>
      <c r="BD76" s="398"/>
      <c r="BE76" s="579"/>
      <c r="BF76" s="577"/>
      <c r="BG76" s="582"/>
      <c r="BH76" s="398"/>
      <c r="BI76" s="579"/>
    </row>
    <row r="77" spans="1:62" s="825" customFormat="1" ht="15" customHeight="1">
      <c r="A77" s="138"/>
      <c r="B77" s="927" t="str">
        <f>IF(OR(Tool!H$7="Deutsch",Tool!H$7=""),"K113a","C113a")</f>
        <v>K113a</v>
      </c>
      <c r="C77" s="872" t="str">
        <f>IF(Tool!$H$7="Français",G77,IF(Tool!$H$7="Italiano",I77,E77))</f>
        <v>Berücksichtigt das Gebäudekonzept die Bedürfnisse und Gewohnheiten der zukünftigen Nutzenden in Bezug auf Anwesenheitszeiten, Lüftungsverhalten und Steuerung der Verschattung und werden die Nutzenden in Bezug auf Überhitzung und unterstützende Automatisierung sensibilisiert?</v>
      </c>
      <c r="D77" s="642" t="str">
        <f>$B77</f>
        <v>K113a</v>
      </c>
      <c r="E77" s="928" t="s">
        <v>629</v>
      </c>
      <c r="F77" s="642" t="str">
        <f>$B77</f>
        <v>K113a</v>
      </c>
      <c r="G77" s="928" t="s">
        <v>1728</v>
      </c>
      <c r="H77" s="642" t="str">
        <f>$B77</f>
        <v>K113a</v>
      </c>
      <c r="I77" s="934" t="s">
        <v>1797</v>
      </c>
      <c r="J77" s="642" t="str">
        <f>$B77</f>
        <v>K113a</v>
      </c>
      <c r="K77" s="930"/>
      <c r="L77" s="931"/>
      <c r="M77" s="931"/>
      <c r="N77" s="931"/>
      <c r="O77" s="931"/>
      <c r="P77" s="932"/>
      <c r="Q77" s="642" t="str">
        <f>$B77</f>
        <v>K113a</v>
      </c>
      <c r="R77" s="930"/>
      <c r="S77" s="931"/>
      <c r="T77" s="931"/>
      <c r="U77" s="931"/>
      <c r="V77" s="931"/>
      <c r="W77" s="932"/>
      <c r="X77" s="642" t="str">
        <f>$B77</f>
        <v>K113a</v>
      </c>
      <c r="Y77" s="930"/>
      <c r="Z77" s="931"/>
      <c r="AA77" s="931"/>
      <c r="AB77" s="931"/>
      <c r="AC77" s="931"/>
      <c r="AD77" s="932"/>
      <c r="AE77" s="138" t="s">
        <v>28</v>
      </c>
      <c r="AF77" s="1006" t="str">
        <f>AT$23</f>
        <v>K111</v>
      </c>
      <c r="AG77" s="1003" t="str">
        <f>AU23</f>
        <v>Ziele &amp; Pflichtenhefte Klima</v>
      </c>
      <c r="AH77" s="1007"/>
      <c r="AI77" s="1003"/>
      <c r="AJ77" s="1008">
        <v>1</v>
      </c>
      <c r="AK77" s="1008" t="s">
        <v>46</v>
      </c>
      <c r="AL77" s="1008">
        <v>0</v>
      </c>
      <c r="AM77" s="1023"/>
      <c r="AN77" s="1023"/>
      <c r="AO77" s="1023" t="str">
        <f>IF(Check!S154=$AQ$4,AJ77,IF(OR(Check!S154=$AQ$5,Check!S154=$AQ$6,Check!S154=$AU$6),AL77,"NB"))</f>
        <v>NB</v>
      </c>
      <c r="AP77" s="1023"/>
      <c r="AQ77" s="1023"/>
      <c r="AR77" s="1023"/>
      <c r="AS77" s="1037"/>
      <c r="AT77" s="1037"/>
      <c r="AU77" s="1037"/>
      <c r="AV77" s="1009" t="str">
        <f>IF(AP77=1,1,
IF(AO77=1,1,
IF(COUNTIF(AO78:AO80,"NB"),"NB",
IF(SUM(AO78:AO80)&gt;1,1,
IF(AND(SUM(AO78:AO80)&gt;=0,SUM(AO78:AO80)&lt;=1),SUM(AO78:AO80),"NB")))))</f>
        <v>NB</v>
      </c>
      <c r="AW77" s="655" t="str">
        <f>IF(AV77="NB","NB",AV77)</f>
        <v>NB</v>
      </c>
      <c r="AX77" s="1037"/>
      <c r="AY77" s="1010"/>
      <c r="AZ77" s="1037" t="str">
        <f>AW77</f>
        <v>NB</v>
      </c>
      <c r="BA77" s="1010" t="str">
        <f>AW77</f>
        <v>NB</v>
      </c>
      <c r="BB77" s="577" t="str">
        <f>IF($AW$77="NB","",
IF($AW$77&gt;=0.85,AF77&amp;" "&amp;AG77&amp;"; ",""))</f>
        <v/>
      </c>
      <c r="BC77" s="582" t="str">
        <f>IF($AW$77="NB","",
IF(AND($AW$77&gt;=0.65,$AW$77&lt;0.85),AF77&amp;" "&amp;AG77&amp;"; ",""))</f>
        <v/>
      </c>
      <c r="BD77" s="398" t="str">
        <f>IF($AW$77="NB","",
IF(AND($AW$77&gt;=0.5,$AW$77&lt;0.65),AF77&amp;" "&amp;AG77&amp;"; ",""))</f>
        <v/>
      </c>
      <c r="BE77" s="579" t="str">
        <f>IF($AW$77="NB","",
IF($AW$77&lt;0.5,AF77&amp;" "&amp;AG77&amp;"; ",""))</f>
        <v/>
      </c>
      <c r="BF77" s="577" t="str">
        <f>IF($AW$77="NB","",
IF($AW$77&gt;=0.85,AF77&amp;" ",""))</f>
        <v/>
      </c>
      <c r="BG77" s="582" t="str">
        <f>IF($AW$77="NB","",
IF(AND($AW$77&gt;=0.65,$AW$77&lt;0.85),AF77&amp;" ",""))</f>
        <v/>
      </c>
      <c r="BH77" s="398" t="str">
        <f>IF($AW$77="NB","",
IF(AND($AW$77&gt;=0.5,$AW$77&lt;0.65),AF77&amp;" ",""))</f>
        <v/>
      </c>
      <c r="BI77" s="579" t="str">
        <f>IF($AW$77="NB","",
IF($AW$77&lt;0.5,AF77&amp;" ",""))</f>
        <v/>
      </c>
    </row>
    <row r="78" spans="1:62" s="825" customFormat="1" ht="15" customHeight="1">
      <c r="A78" s="138"/>
      <c r="B78" s="927"/>
      <c r="C78" s="872" t="str">
        <f>IF(Tool!$H$7="Français",G78,IF(Tool!$H$7="Italiano",I78,E78))</f>
        <v>Werden die Gewohnheiten und Bedürfnisse der Nutzenden in Bezug auf Anwesenheitszeiten, Lüftungsverhalten und Steuerung der Verschattung analysiert und im Betriebskonzept berücksichtigt?</v>
      </c>
      <c r="D78" s="927"/>
      <c r="E78" s="928" t="s">
        <v>630</v>
      </c>
      <c r="F78" s="927"/>
      <c r="G78" s="928" t="s">
        <v>1729</v>
      </c>
      <c r="H78" s="929"/>
      <c r="I78" s="929" t="s">
        <v>1703</v>
      </c>
      <c r="J78" s="927"/>
      <c r="K78" s="930"/>
      <c r="L78" s="931"/>
      <c r="M78" s="931"/>
      <c r="N78" s="931"/>
      <c r="O78" s="931"/>
      <c r="P78" s="932"/>
      <c r="Q78" s="927"/>
      <c r="R78" s="930"/>
      <c r="S78" s="931"/>
      <c r="T78" s="931"/>
      <c r="U78" s="931"/>
      <c r="V78" s="931"/>
      <c r="W78" s="932"/>
      <c r="X78" s="927"/>
      <c r="Y78" s="930"/>
      <c r="Z78" s="931"/>
      <c r="AA78" s="931"/>
      <c r="AB78" s="931"/>
      <c r="AC78" s="931"/>
      <c r="AD78" s="932"/>
      <c r="AE78" s="138"/>
      <c r="AF78" s="335"/>
      <c r="AG78" s="340"/>
      <c r="AH78" s="766"/>
      <c r="AI78" s="340"/>
      <c r="AJ78" s="43">
        <f>AJ77/3</f>
        <v>0.33333333333333331</v>
      </c>
      <c r="AK78" s="43">
        <f>AJ78*0.3</f>
        <v>9.9999999999999992E-2</v>
      </c>
      <c r="AL78" s="43">
        <v>0</v>
      </c>
      <c r="AM78" s="44"/>
      <c r="AN78" s="44"/>
      <c r="AO78" s="44" t="str">
        <f>IF(Check!S157=$AQ$4,AJ78,IF(Check!S157=$AQ$6,AK78,IF(OR(Check!S157=$AQ$5,AO77=""),AL78,"NB")))</f>
        <v>NB</v>
      </c>
      <c r="AP78" s="44"/>
      <c r="AQ78" s="44"/>
      <c r="AR78" s="44"/>
      <c r="AS78" s="41"/>
      <c r="AT78" s="41"/>
      <c r="AU78" s="41"/>
      <c r="AV78" s="442"/>
      <c r="AW78" s="44"/>
      <c r="AX78" s="41" t="s">
        <v>1647</v>
      </c>
      <c r="AY78" s="42" t="str">
        <f>IF(AND(BA73="NB",BA81="NB"),"NB",SUM(BA73,BA81)/2)</f>
        <v>NB</v>
      </c>
      <c r="AZ78" s="41"/>
      <c r="BA78" s="42"/>
      <c r="BB78" s="577"/>
      <c r="BC78" s="582"/>
      <c r="BD78" s="398"/>
      <c r="BE78" s="579"/>
      <c r="BF78" s="577"/>
      <c r="BG78" s="582"/>
      <c r="BH78" s="398"/>
      <c r="BI78" s="579"/>
    </row>
    <row r="79" spans="1:62" ht="15" customHeight="1">
      <c r="A79" s="138"/>
      <c r="B79" s="927"/>
      <c r="C79" s="872" t="str">
        <f>IF(Tool!$H$7="Français",G79,IF(Tool!$H$7="Italiano",I79,E79))</f>
        <v>Erhalten die zukünftigen Nutzenden entsprechende Instruktionen und Hinweise, um sie gezielt darauf zu sensibilisieren, wie ihr Verhalten in Bezug auf Lüften und Verschattung zur Vermeidung von Überhitzung beiträgt?</v>
      </c>
      <c r="D79" s="927"/>
      <c r="E79" s="928" t="s">
        <v>631</v>
      </c>
      <c r="F79" s="927"/>
      <c r="G79" s="928" t="s">
        <v>632</v>
      </c>
      <c r="H79" s="929"/>
      <c r="I79" s="929" t="s">
        <v>1704</v>
      </c>
      <c r="J79" s="927"/>
      <c r="K79" s="930"/>
      <c r="L79" s="931"/>
      <c r="M79" s="931"/>
      <c r="N79" s="931"/>
      <c r="O79" s="931"/>
      <c r="P79" s="932"/>
      <c r="Q79" s="927"/>
      <c r="R79" s="930"/>
      <c r="S79" s="931"/>
      <c r="T79" s="931"/>
      <c r="U79" s="931"/>
      <c r="V79" s="931"/>
      <c r="W79" s="932"/>
      <c r="X79" s="927"/>
      <c r="Y79" s="930"/>
      <c r="Z79" s="931"/>
      <c r="AA79" s="931"/>
      <c r="AB79" s="931"/>
      <c r="AC79" s="931"/>
      <c r="AD79" s="932"/>
      <c r="AE79" s="138" t="s">
        <v>28</v>
      </c>
      <c r="AF79" s="335"/>
      <c r="AG79" s="340"/>
      <c r="AH79" s="766"/>
      <c r="AI79" s="340"/>
      <c r="AJ79" s="43">
        <f>AJ77/3</f>
        <v>0.33333333333333331</v>
      </c>
      <c r="AK79" s="43">
        <f t="shared" ref="AK79:AK80" si="7">AJ79*0.3</f>
        <v>9.9999999999999992E-2</v>
      </c>
      <c r="AL79" s="43">
        <v>0</v>
      </c>
      <c r="AM79" s="44"/>
      <c r="AN79" s="44"/>
      <c r="AO79" s="44" t="str">
        <f>IF(Check!S160=$AQ$4,AJ79,IF(Check!S160=$AQ$6,AK79,IF(OR(Check!S160=$AQ$5,AO77=""),AL79,"NB")))</f>
        <v>NB</v>
      </c>
      <c r="AP79" s="44"/>
      <c r="AQ79" s="44"/>
      <c r="AR79" s="44"/>
      <c r="AS79" s="41"/>
      <c r="AT79" s="41"/>
      <c r="AU79" s="41"/>
      <c r="AV79" s="442"/>
      <c r="AW79" s="44"/>
      <c r="AX79" s="1548" t="s">
        <v>1648</v>
      </c>
      <c r="AY79" s="42" t="str">
        <f>IF(AND(BA73="NB",BA81="NB",BA105="NB",AZ123="NB",AZ148="NB",AZ153="NB"),"NB",SUM(BA73,BA81,BA105,AZ123,AZ148,AZ153)/6)</f>
        <v>NB</v>
      </c>
      <c r="AZ79" s="41"/>
      <c r="BA79" s="42"/>
      <c r="BB79" s="577"/>
      <c r="BC79" s="582"/>
      <c r="BD79" s="398"/>
      <c r="BE79" s="579"/>
      <c r="BF79" s="577"/>
      <c r="BG79" s="582"/>
      <c r="BH79" s="398"/>
      <c r="BI79" s="579"/>
      <c r="BJ79" s="138"/>
    </row>
    <row r="80" spans="1:62" ht="15" customHeight="1">
      <c r="A80" s="138"/>
      <c r="B80" s="927"/>
      <c r="C80" s="872" t="str">
        <f>IF(Tool!$H$7="Français",G80,IF(Tool!$H$7="Italiano",I80,E80))</f>
        <v>Werden die Nutzenden in Bezug auf die unterstützende Wirkung der vorhandenen Automatisierung aufmerksam gemacht und anhand von passenden Instruktionen sensibilisiert?</v>
      </c>
      <c r="D80" s="927"/>
      <c r="E80" s="928" t="s">
        <v>633</v>
      </c>
      <c r="F80" s="927"/>
      <c r="G80" s="928" t="s">
        <v>888</v>
      </c>
      <c r="H80" s="929"/>
      <c r="I80" s="929" t="s">
        <v>1798</v>
      </c>
      <c r="J80" s="927"/>
      <c r="K80" s="930"/>
      <c r="L80" s="931"/>
      <c r="M80" s="931"/>
      <c r="N80" s="931"/>
      <c r="O80" s="931"/>
      <c r="P80" s="932"/>
      <c r="Q80" s="927"/>
      <c r="R80" s="930"/>
      <c r="S80" s="931"/>
      <c r="T80" s="931"/>
      <c r="U80" s="931"/>
      <c r="V80" s="931"/>
      <c r="W80" s="932"/>
      <c r="X80" s="927"/>
      <c r="Y80" s="930"/>
      <c r="Z80" s="931"/>
      <c r="AA80" s="931"/>
      <c r="AB80" s="931"/>
      <c r="AC80" s="931"/>
      <c r="AD80" s="932"/>
      <c r="AE80" s="138" t="s">
        <v>28</v>
      </c>
      <c r="AF80" s="335"/>
      <c r="AG80" s="340"/>
      <c r="AH80" s="766"/>
      <c r="AI80" s="340"/>
      <c r="AJ80" s="43">
        <f>AJ77/3</f>
        <v>0.33333333333333331</v>
      </c>
      <c r="AK80" s="43">
        <f t="shared" si="7"/>
        <v>9.9999999999999992E-2</v>
      </c>
      <c r="AL80" s="43">
        <v>0</v>
      </c>
      <c r="AM80" s="44"/>
      <c r="AN80" s="44"/>
      <c r="AO80" s="44" t="str">
        <f>IF(Check!S163=$AQ$4,AJ80,IF(Check!S163=$AQ$6,AK80,IF(OR(Check!S163=$AQ$5,AO77=""),AL80,"NB")))</f>
        <v>NB</v>
      </c>
      <c r="AP80" s="44"/>
      <c r="AQ80" s="44"/>
      <c r="AR80" s="44"/>
      <c r="AS80" s="41"/>
      <c r="AT80" s="41"/>
      <c r="AU80" s="41"/>
      <c r="AV80" s="442"/>
      <c r="AW80" s="44"/>
      <c r="AX80" s="41"/>
      <c r="AY80" s="42"/>
      <c r="AZ80" s="1483"/>
      <c r="BA80" s="42"/>
      <c r="BB80" s="577"/>
      <c r="BC80" s="582"/>
      <c r="BD80" s="398"/>
      <c r="BE80" s="579"/>
      <c r="BF80" s="577"/>
      <c r="BG80" s="582"/>
      <c r="BH80" s="398"/>
      <c r="BI80" s="579"/>
      <c r="BJ80" s="138"/>
    </row>
    <row r="81" spans="1:62" ht="15" customHeight="1">
      <c r="A81" s="138"/>
      <c r="B81" s="927" t="str">
        <f>IF(OR(Tool!H$7="Deutsch",Tool!H$7=""),"K113b","C113b")</f>
        <v>K113b</v>
      </c>
      <c r="C81" s="872" t="str">
        <f>IF(Tool!$H$7="Français",G81,IF(Tool!$H$7="Italiano",I81,E81))</f>
        <v>Werden die Nutzenden gezielt dazu ermutigt und unterstützt, durch ihr Verhalten im Gebäude (Energieverbrauch), ihre Mobilität und die gemeinsame Nutzung von Ressourcen zum Klimaschutz beizutragen?</v>
      </c>
      <c r="D81" s="642" t="str">
        <f>$B81</f>
        <v>K113b</v>
      </c>
      <c r="E81" s="928" t="s">
        <v>634</v>
      </c>
      <c r="F81" s="642" t="str">
        <f>$B81</f>
        <v>K113b</v>
      </c>
      <c r="G81" s="928" t="s">
        <v>889</v>
      </c>
      <c r="H81" s="642" t="str">
        <f>$B81</f>
        <v>K113b</v>
      </c>
      <c r="I81" s="934" t="s">
        <v>635</v>
      </c>
      <c r="J81" s="642" t="str">
        <f>$B81</f>
        <v>K113b</v>
      </c>
      <c r="K81" s="930"/>
      <c r="L81" s="931"/>
      <c r="M81" s="931"/>
      <c r="N81" s="931"/>
      <c r="O81" s="931"/>
      <c r="P81" s="932"/>
      <c r="Q81" s="642" t="str">
        <f>$B81</f>
        <v>K113b</v>
      </c>
      <c r="R81" s="930"/>
      <c r="S81" s="931"/>
      <c r="T81" s="931"/>
      <c r="U81" s="931"/>
      <c r="V81" s="931"/>
      <c r="W81" s="932"/>
      <c r="X81" s="642" t="str">
        <f>$B81</f>
        <v>K113b</v>
      </c>
      <c r="Y81" s="930"/>
      <c r="Z81" s="931"/>
      <c r="AA81" s="931"/>
      <c r="AB81" s="931"/>
      <c r="AC81" s="931"/>
      <c r="AD81" s="932"/>
      <c r="AE81" s="138" t="s">
        <v>28</v>
      </c>
      <c r="AF81" s="824">
        <f>AQ24</f>
        <v>112</v>
      </c>
      <c r="AG81" s="818" t="str">
        <f>AR24</f>
        <v>Städtebau &amp; Architektur</v>
      </c>
      <c r="AH81" s="1017" t="s">
        <v>1632</v>
      </c>
      <c r="AI81" s="1018" t="s">
        <v>1633</v>
      </c>
      <c r="AJ81" s="519">
        <v>1</v>
      </c>
      <c r="AK81" s="519" t="s">
        <v>46</v>
      </c>
      <c r="AL81" s="520">
        <v>0</v>
      </c>
      <c r="AM81" s="1020"/>
      <c r="AN81" s="1020"/>
      <c r="AO81" s="1020" t="str">
        <f>IF(Check!S167=$AQ$4,AJ81,IF(OR(Check!S167=$AQ$5,Check!S167=$AQ$6),AL81,"NB"))</f>
        <v>NB</v>
      </c>
      <c r="AP81" s="1020"/>
      <c r="AQ81" s="1020" t="str">
        <f>IF(AP81=1,1,
IF(AO81=1,1,
IF(COUNTIF(AO82:AO84,"NB"),"NB",
IF(SUM(AO82:AO84)&gt;1,1,
IF(AND(SUM(AO82:AO84)&gt;=0,SUM(AO82:AO84)&lt;=1),SUM(AO82:AO84),"NB")))))</f>
        <v>NB</v>
      </c>
      <c r="AR81" s="1020"/>
      <c r="AS81" s="1032" t="str">
        <f>IF(AQ81="NB","NB",AQ81)</f>
        <v>NB</v>
      </c>
      <c r="AT81" s="1022"/>
      <c r="AU81" s="1022"/>
      <c r="AV81" s="1006"/>
      <c r="AW81" s="1485" t="str">
        <f>AS81</f>
        <v>NB</v>
      </c>
      <c r="AX81" s="1046"/>
      <c r="AY81" s="1482"/>
      <c r="AZ81" s="1541" t="str">
        <f>AW81</f>
        <v>NB</v>
      </c>
      <c r="BA81" s="1542" t="str">
        <f>AW81</f>
        <v>NB</v>
      </c>
      <c r="BB81" s="577" t="str">
        <f>IF($AS$81="NB","",
IF($AS$81&gt;=0.85,AF81&amp;" "&amp;AG81&amp;"; ",""))</f>
        <v/>
      </c>
      <c r="BC81" s="582" t="str">
        <f>IF($AS$81="NB","",
IF(AND($AS$81&gt;=0.65,$AS$81&lt;0.85),AF81&amp;" "&amp;AG81&amp;"; ",""))</f>
        <v/>
      </c>
      <c r="BD81" s="398" t="str">
        <f>IF($AS$81="NB","",
IF(AND($AS$81&gt;=0.5,$AS$81&lt;0.65),AF81&amp;" "&amp;AG81&amp;"; ",""))</f>
        <v/>
      </c>
      <c r="BE81" s="579" t="str">
        <f>IF($AS$81="NB","",
IF($AS$81&lt;0.5,AF81&amp;" "&amp;AG81&amp;"; ",""))</f>
        <v/>
      </c>
      <c r="BF81" s="577" t="str">
        <f>IF($AS$81="NB","",
IF($AS$81&gt;=0.85,AF81&amp;" ",""))</f>
        <v/>
      </c>
      <c r="BG81" s="582" t="str">
        <f>IF($AS$81="NB","",
IF(AND($AS$81&gt;=0.65,$AS$81&lt;0.85),AF81&amp;" ",""))</f>
        <v/>
      </c>
      <c r="BH81" s="398" t="str">
        <f>IF($AS$81="NB","",
IF(AND($AS$81&gt;=0.5,$AS$81&lt;0.65),AF81&amp;" ",""))</f>
        <v/>
      </c>
      <c r="BI81" s="579" t="str">
        <f>IF($AS$81="NB","",
IF($AS$81&lt;0.5,AF81&amp;" ",""))</f>
        <v/>
      </c>
      <c r="BJ81" s="138"/>
    </row>
    <row r="82" spans="1:62" ht="15" customHeight="1">
      <c r="A82" s="138"/>
      <c r="B82" s="927"/>
      <c r="C82" s="872" t="str">
        <f>IF(Tool!$H$7="Français",G82,IF(Tool!$H$7="Italiano",I82,E82))</f>
        <v>Werden die Nutzenden aktiv dazu ermutigt, die Treibhausgasemissionen im Betrieb zu reduzieren (zum Beispiel durch einsehbares Monitoring, bereitgestellte Tipps oder Anleitungen zum Lüften und Heizen sowie moderne Stromleisten)?</v>
      </c>
      <c r="D82" s="927"/>
      <c r="E82" s="928" t="s">
        <v>636</v>
      </c>
      <c r="F82" s="927"/>
      <c r="G82" s="928" t="s">
        <v>1730</v>
      </c>
      <c r="H82" s="929"/>
      <c r="I82" s="934" t="s">
        <v>637</v>
      </c>
      <c r="J82" s="927"/>
      <c r="K82" s="930"/>
      <c r="L82" s="931"/>
      <c r="M82" s="931"/>
      <c r="N82" s="931"/>
      <c r="O82" s="931"/>
      <c r="P82" s="932"/>
      <c r="Q82" s="927"/>
      <c r="R82" s="930"/>
      <c r="S82" s="931"/>
      <c r="T82" s="931"/>
      <c r="U82" s="931"/>
      <c r="V82" s="931"/>
      <c r="W82" s="932"/>
      <c r="X82" s="927"/>
      <c r="Y82" s="930"/>
      <c r="Z82" s="931"/>
      <c r="AA82" s="931"/>
      <c r="AB82" s="931"/>
      <c r="AC82" s="931"/>
      <c r="AD82" s="932"/>
      <c r="AE82" s="138" t="s">
        <v>28</v>
      </c>
      <c r="AF82" s="335"/>
      <c r="AG82" s="340"/>
      <c r="AH82" s="766"/>
      <c r="AI82" s="340"/>
      <c r="AJ82" s="43">
        <f>AJ81/3</f>
        <v>0.33333333333333331</v>
      </c>
      <c r="AK82" s="43">
        <f>AJ82*0.3</f>
        <v>9.9999999999999992E-2</v>
      </c>
      <c r="AL82" s="43">
        <v>0</v>
      </c>
      <c r="AM82" s="44"/>
      <c r="AN82" s="44"/>
      <c r="AO82" s="44" t="str">
        <f>IF(Check!S170=$AQ$4,AJ82,IF(Check!S170=$AQ$6,AK82,IF(OR(Check!S170=$AQ$5,AO81=""),AL82,"NB")))</f>
        <v>NB</v>
      </c>
      <c r="AP82" s="44"/>
      <c r="AQ82" s="44"/>
      <c r="AR82" s="44"/>
      <c r="AS82" s="41"/>
      <c r="AT82" s="41"/>
      <c r="AU82" s="41"/>
      <c r="AV82" s="442"/>
      <c r="AW82" s="44"/>
      <c r="AX82" s="41"/>
      <c r="AY82" s="42"/>
      <c r="AZ82" s="41"/>
      <c r="BA82" s="42"/>
      <c r="BB82" s="577"/>
      <c r="BC82" s="582"/>
      <c r="BD82" s="398"/>
      <c r="BE82" s="579"/>
      <c r="BF82" s="577"/>
      <c r="BG82" s="582"/>
      <c r="BH82" s="398"/>
      <c r="BI82" s="579"/>
      <c r="BJ82" s="138"/>
    </row>
    <row r="83" spans="1:62" ht="15" customHeight="1">
      <c r="A83" s="138"/>
      <c r="B83" s="933"/>
      <c r="C83" s="872" t="str">
        <f>IF(Tool!$H$7="Français",G83,IF(Tool!$H$7="Italiano",I83,E83))</f>
        <v>Wird den Nutzenden aktiv dabei geholfen, die Treibhausgasemissionen durch Mobilität zu reduzieren, z. B. durch die Bereitstellung von Austauschplattformen zur Förderung von Fahrgemeinschaften?</v>
      </c>
      <c r="D83" s="927"/>
      <c r="E83" s="928" t="s">
        <v>737</v>
      </c>
      <c r="F83" s="927"/>
      <c r="G83" s="928" t="s">
        <v>887</v>
      </c>
      <c r="H83" s="642"/>
      <c r="I83" s="934" t="s">
        <v>1705</v>
      </c>
      <c r="J83" s="642"/>
      <c r="K83" s="930"/>
      <c r="L83" s="931"/>
      <c r="M83" s="931"/>
      <c r="N83" s="931"/>
      <c r="O83" s="931"/>
      <c r="P83" s="932"/>
      <c r="Q83" s="642"/>
      <c r="R83" s="930"/>
      <c r="S83" s="931"/>
      <c r="T83" s="931"/>
      <c r="U83" s="931"/>
      <c r="V83" s="931"/>
      <c r="W83" s="932"/>
      <c r="X83" s="642"/>
      <c r="Y83" s="930"/>
      <c r="Z83" s="931"/>
      <c r="AA83" s="931"/>
      <c r="AB83" s="931"/>
      <c r="AC83" s="931"/>
      <c r="AD83" s="932"/>
      <c r="AE83" s="138" t="s">
        <v>28</v>
      </c>
      <c r="AF83" s="335"/>
      <c r="AG83" s="340"/>
      <c r="AH83" s="766"/>
      <c r="AI83" s="340"/>
      <c r="AJ83" s="43">
        <f>AJ81/3</f>
        <v>0.33333333333333331</v>
      </c>
      <c r="AK83" s="43">
        <f>AJ83*0.3</f>
        <v>9.9999999999999992E-2</v>
      </c>
      <c r="AL83" s="43">
        <v>0</v>
      </c>
      <c r="AM83" s="44"/>
      <c r="AN83" s="44"/>
      <c r="AO83" s="44" t="str">
        <f>IF(Check!S173=$AQ$4,AJ83,IF(Check!S173=$AQ$6,AK83,IF(OR(Check!S173=$AQ$5,AO81=""),AL83,"NB")))</f>
        <v>NB</v>
      </c>
      <c r="AP83" s="44"/>
      <c r="AQ83" s="44"/>
      <c r="AR83" s="44"/>
      <c r="AS83" s="41"/>
      <c r="AT83" s="41"/>
      <c r="AU83" s="41"/>
      <c r="AV83" s="442"/>
      <c r="AW83" s="44"/>
      <c r="AX83" s="41"/>
      <c r="AY83" s="42"/>
      <c r="AZ83" s="41"/>
      <c r="BA83" s="42"/>
      <c r="BB83" s="577"/>
      <c r="BC83" s="582"/>
      <c r="BD83" s="398"/>
      <c r="BE83" s="579"/>
      <c r="BF83" s="577"/>
      <c r="BG83" s="582"/>
      <c r="BH83" s="398"/>
      <c r="BI83" s="579"/>
      <c r="BJ83" s="138"/>
    </row>
    <row r="84" spans="1:62" ht="15" customHeight="1">
      <c r="A84" s="138"/>
      <c r="B84" s="642"/>
      <c r="C84" s="872" t="str">
        <f>IF(Tool!$H$7="Français",G84,IF(Tool!$H$7="Italiano",I84,E84))</f>
        <v>Werden die Nutzenden durch gezielte Massnahmen unterstützt ihre Konsumgewohnheiten nachhaltiger zu gestalten und damit die Treibhausgasemissionen bei der Herstellung von Produkten zu senken? (z. B. Sharing von Gebrauchsgegenständen, Second-Hand-Märkte und Angebote zur Vermeidung von Food-Waste)</v>
      </c>
      <c r="D84" s="927"/>
      <c r="E84" s="928" t="s">
        <v>738</v>
      </c>
      <c r="F84" s="927"/>
      <c r="G84" s="928" t="s">
        <v>1731</v>
      </c>
      <c r="H84" s="929"/>
      <c r="I84" s="934" t="s">
        <v>638</v>
      </c>
      <c r="J84" s="927"/>
      <c r="K84" s="930"/>
      <c r="L84" s="931"/>
      <c r="M84" s="931"/>
      <c r="N84" s="931"/>
      <c r="O84" s="931"/>
      <c r="P84" s="932"/>
      <c r="Q84" s="927"/>
      <c r="R84" s="930"/>
      <c r="S84" s="931"/>
      <c r="T84" s="931"/>
      <c r="U84" s="931"/>
      <c r="V84" s="931"/>
      <c r="W84" s="932"/>
      <c r="X84" s="927"/>
      <c r="Y84" s="930"/>
      <c r="Z84" s="931"/>
      <c r="AA84" s="931"/>
      <c r="AB84" s="931"/>
      <c r="AC84" s="931"/>
      <c r="AD84" s="932"/>
      <c r="AE84" s="138" t="s">
        <v>28</v>
      </c>
      <c r="AF84" s="335"/>
      <c r="AG84" s="340"/>
      <c r="AH84" s="766"/>
      <c r="AI84" s="340"/>
      <c r="AJ84" s="43">
        <f>AJ81/3</f>
        <v>0.33333333333333331</v>
      </c>
      <c r="AK84" s="43">
        <f>AJ84*0.3</f>
        <v>9.9999999999999992E-2</v>
      </c>
      <c r="AL84" s="43">
        <v>0</v>
      </c>
      <c r="AM84" s="44"/>
      <c r="AN84" s="44"/>
      <c r="AO84" s="44" t="str">
        <f>IF(Check!S176=$AQ$4,AJ84,IF(Check!S176=$AQ$6,AK84,IF(OR(Check!S176=$AQ$5,AO81=""),AL84,"NB")))</f>
        <v>NB</v>
      </c>
      <c r="AP84" s="44"/>
      <c r="AQ84" s="44"/>
      <c r="AR84" s="44"/>
      <c r="AS84" s="41"/>
      <c r="AT84" s="41"/>
      <c r="AU84" s="41"/>
      <c r="AV84" s="442"/>
      <c r="AW84" s="44"/>
      <c r="AX84" s="41"/>
      <c r="AY84" s="42"/>
      <c r="AZ84" s="41"/>
      <c r="BA84" s="42"/>
      <c r="BB84" s="577"/>
      <c r="BC84" s="582"/>
      <c r="BD84" s="398"/>
      <c r="BE84" s="579"/>
      <c r="BF84" s="577"/>
      <c r="BG84" s="582"/>
      <c r="BH84" s="398"/>
      <c r="BI84" s="579"/>
      <c r="BJ84" s="138"/>
    </row>
    <row r="85" spans="1:62" ht="15" customHeight="1">
      <c r="A85" s="138"/>
      <c r="B85" s="508"/>
      <c r="C85" s="866" t="str">
        <f>IF(Tool!$H$7="Français",G85,IF(Tool!$H$7="Italiano",I85,E85))</f>
        <v>Angebot und Erreichbarkeit</v>
      </c>
      <c r="D85" s="508"/>
      <c r="E85" s="505" t="s">
        <v>639</v>
      </c>
      <c r="F85" s="508"/>
      <c r="G85" s="497" t="s">
        <v>640</v>
      </c>
      <c r="H85" s="497"/>
      <c r="I85" s="935" t="s">
        <v>641</v>
      </c>
      <c r="J85" s="508"/>
      <c r="K85" s="886" t="str">
        <f>E85</f>
        <v>Angebot und Erreichbarkeit</v>
      </c>
      <c r="L85" s="887"/>
      <c r="M85" s="887"/>
      <c r="N85" s="887"/>
      <c r="O85" s="887"/>
      <c r="P85" s="888"/>
      <c r="Q85" s="508"/>
      <c r="R85" s="943" t="str">
        <f>G85</f>
        <v>Accessibilité et commodités</v>
      </c>
      <c r="S85" s="848"/>
      <c r="T85" s="848"/>
      <c r="U85" s="848"/>
      <c r="V85" s="848"/>
      <c r="W85" s="849"/>
      <c r="X85" s="508"/>
      <c r="Y85" s="943" t="str">
        <f>I85</f>
        <v>Offerta e raggiungibilità</v>
      </c>
      <c r="Z85" s="848"/>
      <c r="AA85" s="848"/>
      <c r="AB85" s="848"/>
      <c r="AC85" s="848"/>
      <c r="AD85" s="849"/>
      <c r="AE85" s="138"/>
      <c r="AF85" s="701" t="str">
        <f>AT$24</f>
        <v>K112a</v>
      </c>
      <c r="AG85" s="1003" t="str">
        <f>AU24</f>
        <v>Klimaangepasster Städtebau</v>
      </c>
      <c r="AH85" s="1007"/>
      <c r="AI85" s="1003"/>
      <c r="AJ85" s="653">
        <v>1</v>
      </c>
      <c r="AK85" s="653" t="s">
        <v>46</v>
      </c>
      <c r="AL85" s="653">
        <v>0</v>
      </c>
      <c r="AM85" s="654"/>
      <c r="AN85" s="654"/>
      <c r="AO85" s="654" t="str">
        <f>IF(Check!S179=$AQ$4,AJ85,IF(OR(Check!S179=$AQ$5,Check!S179=$AQ$6),AL85,"NB"))</f>
        <v>NB</v>
      </c>
      <c r="AP85" s="654"/>
      <c r="AQ85" s="700"/>
      <c r="AR85" s="700"/>
      <c r="AS85" s="654"/>
      <c r="AT85" s="700"/>
      <c r="AU85" s="700"/>
      <c r="AV85" s="704" t="str">
        <f>IF(AP85=1,1,
IF(AO85=1,1,
IF(COUNTIF(AO86:AO88,"NB"),"NB",
IF(SUM(AO86:AO88)&gt;1,1,
IF(AND(SUM(AO86:AO88)&gt;=0,SUM(AO86:AO88)&lt;=1),SUM(AO86:AO88),"NB")))))</f>
        <v>NB</v>
      </c>
      <c r="AW85" s="655" t="str">
        <f>IF(AV85="NB","NB",AV85)</f>
        <v>NB</v>
      </c>
      <c r="AX85" s="1012"/>
      <c r="AY85" s="1010"/>
      <c r="AZ85" s="1037" t="str">
        <f>AW85</f>
        <v>NB</v>
      </c>
      <c r="BA85" s="1010"/>
      <c r="BB85" s="577" t="str">
        <f>IF($AW$85="NB","",
IF($AW$85&gt;=0.85,AF85&amp;" "&amp;AG85&amp;"; ",""))</f>
        <v/>
      </c>
      <c r="BC85" s="582" t="str">
        <f>IF($AW$85="NB","",
IF(AND($AW$85&gt;=0.65,$AW$85&lt;0.85),AF85&amp;" "&amp;AG85&amp;"; ",""))</f>
        <v/>
      </c>
      <c r="BD85" s="398" t="str">
        <f>IF($AW$85="NB","",
IF(AND($AW$85&gt;=0.5,$AW$85&lt;0.65),AF85&amp;" "&amp;AG85&amp;"; ",""))</f>
        <v/>
      </c>
      <c r="BE85" s="579" t="str">
        <f>IF($AW$85="NB","",
IF($AW$85&lt;0.5,AF85&amp;" "&amp;AG85&amp;"; ",""))</f>
        <v/>
      </c>
      <c r="BF85" s="577" t="str">
        <f>IF($AW$85="NB","",
IF($AW$85&gt;=0.85,AF85&amp;" ",""))</f>
        <v/>
      </c>
      <c r="BG85" s="582" t="str">
        <f>IF($AW$85="NB","",
IF(AND($AW$85&gt;=0.65,$AW$85&lt;0.85),AF85&amp;" ",""))</f>
        <v/>
      </c>
      <c r="BH85" s="398" t="str">
        <f>IF($AW$85="NB","",
IF(AND($AW$85&gt;=0.5,$AW$85&lt;0.65),AF85&amp;" ",""))</f>
        <v/>
      </c>
      <c r="BI85" s="579" t="str">
        <f>IF($AW$85="NB","",
IF($AW$85&lt;0.5,AF85&amp;" ",""))</f>
        <v/>
      </c>
      <c r="BJ85" s="138"/>
    </row>
    <row r="86" spans="1:62" ht="15" customHeight="1">
      <c r="A86" s="138"/>
      <c r="B86" s="498">
        <v>121</v>
      </c>
      <c r="C86" s="870" t="str">
        <f>IF(Tool!$H$7="Français",G86,IF(Tool!$H$7="Italiano",I86,E86))</f>
        <v xml:space="preserve">Besteht das Angebot einer angemessenen Grundversorgung für das nähere Projektumfeld (max. 10 Minuten Gehdistanz) und weist es eine gute ÖV-Erschliessung auf? </v>
      </c>
      <c r="D86" s="498">
        <f>$B86</f>
        <v>121</v>
      </c>
      <c r="E86" s="500" t="s">
        <v>642</v>
      </c>
      <c r="F86" s="498">
        <f>$B86</f>
        <v>121</v>
      </c>
      <c r="G86" s="925" t="s">
        <v>1735</v>
      </c>
      <c r="H86" s="498">
        <f>$B86</f>
        <v>121</v>
      </c>
      <c r="I86" s="925" t="s">
        <v>1746</v>
      </c>
      <c r="J86" s="498">
        <f>$B86</f>
        <v>121</v>
      </c>
      <c r="K86" s="937"/>
      <c r="L86" s="938"/>
      <c r="M86" s="938"/>
      <c r="N86" s="938"/>
      <c r="O86" s="938"/>
      <c r="P86" s="939"/>
      <c r="Q86" s="498">
        <f>$B86</f>
        <v>121</v>
      </c>
      <c r="R86" s="501" t="s">
        <v>472</v>
      </c>
      <c r="S86" s="502"/>
      <c r="T86" s="502"/>
      <c r="U86" s="502"/>
      <c r="V86" s="502"/>
      <c r="W86" s="503"/>
      <c r="X86" s="498"/>
      <c r="Y86" s="501" t="s">
        <v>472</v>
      </c>
      <c r="Z86" s="502"/>
      <c r="AA86" s="502"/>
      <c r="AB86" s="502"/>
      <c r="AC86" s="502"/>
      <c r="AD86" s="503"/>
      <c r="AE86" s="138"/>
      <c r="AF86" s="335"/>
      <c r="AG86" s="340"/>
      <c r="AH86" s="766"/>
      <c r="AI86" s="340"/>
      <c r="AJ86" s="43">
        <f>AJ85/3</f>
        <v>0.33333333333333331</v>
      </c>
      <c r="AK86" s="43">
        <f>AJ86*0.3</f>
        <v>9.9999999999999992E-2</v>
      </c>
      <c r="AL86" s="43">
        <v>0</v>
      </c>
      <c r="AM86" s="44"/>
      <c r="AN86" s="44"/>
      <c r="AO86" s="44" t="str">
        <f>IF(Check!S182=$AQ$4,AJ86,IF(Check!S182=$AQ$6,AK86,IF(OR(Check!S182=$AQ$5,AO85=""),AL86,"NB")))</f>
        <v>NB</v>
      </c>
      <c r="AP86" s="44"/>
      <c r="AQ86" s="44"/>
      <c r="AR86" s="44"/>
      <c r="AS86" s="41"/>
      <c r="AT86" s="41"/>
      <c r="AU86" s="41"/>
      <c r="AV86" s="442"/>
      <c r="AW86" s="44"/>
      <c r="AX86" s="41"/>
      <c r="AY86" s="42"/>
      <c r="AZ86" s="41"/>
      <c r="BA86" s="42"/>
      <c r="BB86" s="577"/>
      <c r="BC86" s="582"/>
      <c r="BD86" s="398"/>
      <c r="BE86" s="579"/>
      <c r="BF86" s="577"/>
      <c r="BG86" s="582"/>
      <c r="BH86" s="398"/>
      <c r="BI86" s="579"/>
      <c r="BJ86" s="138"/>
    </row>
    <row r="87" spans="1:62" ht="15" customHeight="1">
      <c r="A87" s="138"/>
      <c r="B87" s="498"/>
      <c r="C87" s="870" t="str">
        <f>IF(Tool!$H$7="Français",G87,IF(Tool!$H$7="Italiano",I87,E87))</f>
        <v>Weist das Gebäude bzw. das Grundstück ÖV-Güteklasse B oder besser auf?</v>
      </c>
      <c r="D87" s="498"/>
      <c r="E87" s="500" t="str">
        <f>IF($AG$28=$AJ$6,P87,"Weist das Gebäude bzw. das Grundstück ÖV-Güteklasse B oder besser auf?")</f>
        <v>Weist das Gebäude bzw. das Grundstück ÖV-Güteklasse B oder besser auf?</v>
      </c>
      <c r="F87" s="498"/>
      <c r="G87" s="500" t="str">
        <f>IF($AG$28=$AJ$6,W87,"Est-ce que le bâtiment ou le terrain présente une qualité de desserte par les TP de classe B ou supérieure ?")</f>
        <v>Est-ce que le bâtiment ou le terrain présente une qualité de desserte par les TP de classe B ou supérieure ?</v>
      </c>
      <c r="H87" s="500"/>
      <c r="I87" s="925" t="str">
        <f>IF($AG$28=$AJ$6,AD87,"L'immobile in progetto o la proprietà dispone di un collegamento di TP di classe B o superiore?")</f>
        <v>L'immobile in progetto o la proprietà dispone di un collegamento di TP di classe B o superiore?</v>
      </c>
      <c r="J87" s="498"/>
      <c r="K87" s="501"/>
      <c r="L87" s="502"/>
      <c r="M87" s="502"/>
      <c r="N87" s="502"/>
      <c r="O87" s="502"/>
      <c r="P87" s="503" t="s">
        <v>653</v>
      </c>
      <c r="Q87" s="498"/>
      <c r="R87" s="501"/>
      <c r="S87" s="502"/>
      <c r="T87" s="502"/>
      <c r="U87" s="502"/>
      <c r="V87" s="502"/>
      <c r="W87" s="503" t="s">
        <v>652</v>
      </c>
      <c r="X87" s="498"/>
      <c r="Y87" s="501"/>
      <c r="Z87" s="502"/>
      <c r="AA87" s="502"/>
      <c r="AB87" s="502"/>
      <c r="AC87" s="502"/>
      <c r="AD87" s="1597" t="s">
        <v>1739</v>
      </c>
      <c r="AE87" s="138"/>
      <c r="AF87" s="335"/>
      <c r="AG87" s="340"/>
      <c r="AH87" s="766"/>
      <c r="AI87" s="340"/>
      <c r="AJ87" s="43">
        <f>AJ85/3</f>
        <v>0.33333333333333331</v>
      </c>
      <c r="AK87" s="43">
        <f t="shared" ref="AK87:AK88" si="8">AJ87*0.3</f>
        <v>9.9999999999999992E-2</v>
      </c>
      <c r="AL87" s="43">
        <v>0</v>
      </c>
      <c r="AM87" s="44"/>
      <c r="AN87" s="44"/>
      <c r="AO87" s="44" t="str">
        <f>IF(Check!S185=$AQ$4,AJ87,IF(Check!S185=$AQ$6,AK87,IF(OR(Check!S185=$AQ$5,AO85=""),AL87,"NB")))</f>
        <v>NB</v>
      </c>
      <c r="AP87" s="44"/>
      <c r="AQ87" s="44"/>
      <c r="AR87" s="44"/>
      <c r="AS87" s="41"/>
      <c r="AT87" s="41"/>
      <c r="AU87" s="41"/>
      <c r="AV87" s="442"/>
      <c r="AW87" s="44"/>
      <c r="AX87" s="41"/>
      <c r="AY87" s="42"/>
      <c r="AZ87" s="41"/>
      <c r="BA87" s="42"/>
      <c r="BB87" s="577"/>
      <c r="BC87" s="582"/>
      <c r="BD87" s="398"/>
      <c r="BE87" s="579"/>
      <c r="BF87" s="577"/>
      <c r="BG87" s="582"/>
      <c r="BH87" s="398"/>
      <c r="BI87" s="579"/>
      <c r="BJ87" s="138"/>
    </row>
    <row r="88" spans="1:62" ht="15" customHeight="1">
      <c r="A88" s="138"/>
      <c r="B88" s="498"/>
      <c r="C88" s="870" t="str">
        <f>IF(Tool!$H$7="Français",G88,IF(Tool!$H$7="Italiano",I88,E88))</f>
        <v>Liegt das Gebäude in der Nähe eines Ladens mit einem Basisangebot für den täglichen Einkauf (sichere Trottoir-Gehdistanz &lt; 500 m)?</v>
      </c>
      <c r="D88" s="498"/>
      <c r="E88" s="500" t="str">
        <f>IF($AG$27=$AH$4,O88,"Liegt das Gebäude in der Nähe eines Ladens mit einem Basisangebot für den täglichen Einkauf (sichere Trottoir-Gehdistanz &lt; 500 m)?")</f>
        <v>Liegt das Gebäude in der Nähe eines Ladens mit einem Basisangebot für den täglichen Einkauf (sichere Trottoir-Gehdistanz &lt; 500 m)?</v>
      </c>
      <c r="F88" s="498"/>
      <c r="G88" s="500" t="str">
        <f>IF($AG$27=$AH$4,V88,"Est-ce que le bâtiment se trouve à proximité d'un magasin proposant une offre de base pour les achats quotidiens (distance de marche sûre du trottoir &lt; 500 m) ?")</f>
        <v>Est-ce que le bâtiment se trouve à proximité d'un magasin proposant une offre de base pour les achats quotidiens (distance de marche sûre du trottoir &lt; 500 m) ?</v>
      </c>
      <c r="H88" s="500"/>
      <c r="I88" s="925" t="str">
        <f>IF($AG$27=$AH$4,AC88,"L'immobile in progetto si trova vicino a un negozio con un assortimento di base di prodotti per la spesa quotidiana (distanza pedonale sicura &lt; 500 m)?")</f>
        <v>L'immobile in progetto si trova vicino a un negozio con un assortimento di base di prodotti per la spesa quotidiana (distanza pedonale sicura &lt; 500 m)?</v>
      </c>
      <c r="J88" s="498"/>
      <c r="K88" s="501"/>
      <c r="L88" s="502"/>
      <c r="M88" s="502"/>
      <c r="N88" s="502"/>
      <c r="O88" s="502" t="s">
        <v>1376</v>
      </c>
      <c r="P88" s="503"/>
      <c r="Q88" s="498"/>
      <c r="R88" s="501"/>
      <c r="S88" s="502"/>
      <c r="T88" s="502"/>
      <c r="U88" s="502"/>
      <c r="V88" s="502" t="s">
        <v>1377</v>
      </c>
      <c r="W88" s="503"/>
      <c r="X88" s="498"/>
      <c r="Y88" s="501"/>
      <c r="Z88" s="502"/>
      <c r="AA88" s="502"/>
      <c r="AB88" s="502"/>
      <c r="AC88" s="502" t="s">
        <v>654</v>
      </c>
      <c r="AD88" s="502"/>
      <c r="AE88" s="138"/>
      <c r="AF88" s="335"/>
      <c r="AG88" s="340"/>
      <c r="AH88" s="766"/>
      <c r="AI88" s="340"/>
      <c r="AJ88" s="43">
        <f>AJ85/3</f>
        <v>0.33333333333333331</v>
      </c>
      <c r="AK88" s="43">
        <f t="shared" si="8"/>
        <v>9.9999999999999992E-2</v>
      </c>
      <c r="AL88" s="43">
        <v>0</v>
      </c>
      <c r="AM88" s="44"/>
      <c r="AN88" s="44"/>
      <c r="AO88" s="44" t="str">
        <f>IF(Check!S188=$AQ$4,AJ88,IF(Check!S188=$AQ$6,AK88,IF(OR(Check!S188=$AQ$5,AO85=""),AL88,"NB")))</f>
        <v>NB</v>
      </c>
      <c r="AP88" s="44"/>
      <c r="AQ88" s="44"/>
      <c r="AR88" s="44"/>
      <c r="AS88" s="41"/>
      <c r="AT88" s="41"/>
      <c r="AU88" s="41"/>
      <c r="AV88" s="442"/>
      <c r="AW88" s="44"/>
      <c r="AX88" s="41"/>
      <c r="AY88" s="42"/>
      <c r="AZ88" s="41"/>
      <c r="BA88" s="42"/>
      <c r="BB88" s="577"/>
      <c r="BC88" s="582"/>
      <c r="BD88" s="398"/>
      <c r="BE88" s="579"/>
      <c r="BF88" s="577"/>
      <c r="BG88" s="582"/>
      <c r="BH88" s="398"/>
      <c r="BI88" s="579"/>
      <c r="BJ88" s="138"/>
    </row>
    <row r="89" spans="1:62" ht="15" customHeight="1">
      <c r="A89" s="138"/>
      <c r="B89" s="498"/>
      <c r="C89" s="870" t="str">
        <f>IF(Tool!$H$7="Français",G89,IF(Tool!$H$7="Italiano",I89,E89))</f>
        <v>Sind zielgruppenentsprechende gastronomische Angebote (z. B. Restaurant, Café, Mensa, Take-away) im Umfeld oder in der geplanten Liegenschaft vorhanden? (Gehdistanz &lt; 500 m)</v>
      </c>
      <c r="D89" s="498"/>
      <c r="E89" s="925" t="str">
        <f>IF($AG$28=$AJ$6,P89,"Sind zielgruppenentsprechende gastronomische Angebote (z. B. Restaurant, Café, Mensa, Take-away) im Umfeld oder in der geplanten Liegenschaft vorhanden? (Gehdistanz &lt; 500 m)")</f>
        <v>Sind zielgruppenentsprechende gastronomische Angebote (z. B. Restaurant, Café, Mensa, Take-away) im Umfeld oder in der geplanten Liegenschaft vorhanden? (Gehdistanz &lt; 500 m)</v>
      </c>
      <c r="F89" s="498"/>
      <c r="G89" s="925" t="str">
        <f>IF($AG$28=$AJ$6,W89,"Existe-t-il des offres gastronomiques adaptées au groupe cible (p. ex. restaurant, café, restaurant universitaire, take-away) dans le voisinage ou dans l'immeuble prévu ? (Distance à pied &lt; 500 m)")</f>
        <v>Existe-t-il des offres gastronomiques adaptées au groupe cible (p. ex. restaurant, café, restaurant universitaire, take-away) dans le voisinage ou dans l'immeuble prévu ? (Distance à pied &lt; 500 m)</v>
      </c>
      <c r="H89" s="500"/>
      <c r="I89" s="925" t="str">
        <f>IF($AG$28=$AJ$6,AD89,"Sono disponibili strutture di ristorazione adatte al gruppo target (ad es. ristorante, caffè, mensa, take-away) nelle vicinanze o nell'immobile in progetto? (distanza a piedi &lt; 500 m)")</f>
        <v>Sono disponibili strutture di ristorazione adatte al gruppo target (ad es. ristorante, caffè, mensa, take-away) nelle vicinanze o nell'immobile in progetto? (distanza a piedi &lt; 500 m)</v>
      </c>
      <c r="J89" s="498"/>
      <c r="K89" s="501"/>
      <c r="L89" s="502"/>
      <c r="M89" s="502"/>
      <c r="N89" s="502"/>
      <c r="O89" s="502"/>
      <c r="P89" s="503" t="s">
        <v>1375</v>
      </c>
      <c r="Q89" s="498"/>
      <c r="R89" s="501"/>
      <c r="S89" s="502"/>
      <c r="T89" s="502"/>
      <c r="U89" s="502"/>
      <c r="V89" s="502"/>
      <c r="W89" s="503" t="s">
        <v>1382</v>
      </c>
      <c r="X89" s="498"/>
      <c r="Y89" s="501"/>
      <c r="Z89" s="502"/>
      <c r="AA89" s="502"/>
      <c r="AB89" s="502"/>
      <c r="AC89" s="502"/>
      <c r="AD89" s="502" t="s">
        <v>1379</v>
      </c>
      <c r="AE89" s="138"/>
      <c r="AF89" s="1006" t="str">
        <f>AT$25</f>
        <v>K112b</v>
      </c>
      <c r="AG89" s="1003" t="str">
        <f>AU25</f>
        <v>Klimaangepasstes Planerwahlverfahren</v>
      </c>
      <c r="AH89" s="1007"/>
      <c r="AI89" s="1003"/>
      <c r="AJ89" s="1008">
        <v>1</v>
      </c>
      <c r="AK89" s="1008" t="s">
        <v>46</v>
      </c>
      <c r="AL89" s="1008">
        <v>0</v>
      </c>
      <c r="AM89" s="1012"/>
      <c r="AN89" s="1012"/>
      <c r="AO89" s="1023" t="str">
        <f>IF(Check!S191=$AQ$4,AJ89,IF(OR(Check!S191=$AQ$5,Check!S191=$AQ$6),AL89,"NB"))</f>
        <v>NB</v>
      </c>
      <c r="AP89" s="1012"/>
      <c r="AQ89" s="1012"/>
      <c r="AR89" s="1012"/>
      <c r="AS89" s="1012"/>
      <c r="AT89" s="1012"/>
      <c r="AU89" s="1012"/>
      <c r="AV89" s="704" t="str">
        <f>IF(AP89=1,1,
IF(AO89=1,1,
IF(COUNTIF(AO90:AO92,"NB"),"NB",
IF(SUM(AO90:AO92)&gt;1,1,
IF(AND(SUM(AO90:AO92)&gt;=0,SUM(AO90:AO92)&lt;=1),SUM(AO90:AO92),"NB")))))</f>
        <v>NB</v>
      </c>
      <c r="AW89" s="655" t="str">
        <f>IF(AV89="NB","NB",AV89)</f>
        <v>NB</v>
      </c>
      <c r="AX89" s="1012"/>
      <c r="AY89" s="1035"/>
      <c r="AZ89" s="1037" t="str">
        <f>AW89</f>
        <v>NB</v>
      </c>
      <c r="BA89" s="1010"/>
      <c r="BB89" s="577" t="str">
        <f>IF($AW$89="NB","",
IF($AW$89&gt;=0.85,AF89&amp;" "&amp;AG89&amp;"; ",""))</f>
        <v/>
      </c>
      <c r="BC89" s="582" t="str">
        <f>IF($AW$89="NB","",
IF(AND($AW$89&gt;=0.65,$AW$89&lt;0.85),AF89&amp;" "&amp;AG89&amp;"; ",""))</f>
        <v/>
      </c>
      <c r="BD89" s="398" t="str">
        <f>IF($AW$89="NB","",
IF(AND($AW$89&gt;=0.5,$AW$89&lt;0.65),AF89&amp;" "&amp;AG89&amp;"; ",""))</f>
        <v/>
      </c>
      <c r="BE89" s="579" t="str">
        <f>IF($AW$89="NB","",
IF($AW$89&lt;0.5,AF89&amp;" "&amp;AG89&amp;"; ",""))</f>
        <v/>
      </c>
      <c r="BF89" s="577" t="str">
        <f>IF($AW$89="NB","",
IF($AW$89&gt;=0.85,AF89&amp;" ",""))</f>
        <v/>
      </c>
      <c r="BG89" s="582" t="str">
        <f>IF($AW$89="NB","",
IF(AND($AW$89&gt;=0.65,$AW$89&lt;0.85),AF89&amp;" ",""))</f>
        <v/>
      </c>
      <c r="BH89" s="398" t="str">
        <f>IF($AW$89="NB","",
IF(AND($AW$89&gt;=0.5,$AW$89&lt;0.65),AF89&amp;" ",""))</f>
        <v/>
      </c>
      <c r="BI89" s="579" t="str">
        <f>IF($AW$89="NB","",
IF($AW$89&lt;0.5,AF89&amp;" ",""))</f>
        <v/>
      </c>
      <c r="BJ89" s="138"/>
    </row>
    <row r="90" spans="1:62" ht="15" customHeight="1">
      <c r="A90" s="138"/>
      <c r="B90" s="498"/>
      <c r="C90" s="870" t="str">
        <f>IF(Tool!$H$7="Français",G90,IF(Tool!$H$7="Italiano",I90,E90))</f>
        <v>Sind zielgruppenentsprechende Freiräume zur Erholung (z. B. Aussenräume mit Sitzgelegenheiten, Parkanlagen) im Umfeld oder in der geplanten Liegenschaft vorhanden? (Gehdistanz &lt; 500 m)</v>
      </c>
      <c r="D90" s="498"/>
      <c r="E90" s="500" t="str">
        <f>IF($AG$28=$AJ$6,P90,"Sind zielgruppenentsprechende Freiräume zur Erholung (z. B. Aussenräume mit Sitzgelegenheiten, Parkanlagen) im Umfeld oder in der geplanten Liegenschaft vorhanden? (Gehdistanz &lt; 500 m)")</f>
        <v>Sind zielgruppenentsprechende Freiräume zur Erholung (z. B. Aussenräume mit Sitzgelegenheiten, Parkanlagen) im Umfeld oder in der geplanten Liegenschaft vorhanden? (Gehdistanz &lt; 500 m)</v>
      </c>
      <c r="F90" s="498"/>
      <c r="G90" s="500" t="str">
        <f>IF($AG$28=$AJ$6,W90,"Existe-t-il des espaces de détente adaptés au groupe cible (p. ex. espaces extérieurs avec sièges, parcs) dans les environs ou dans l'immeuble prévu ? (distance à pied &lt; 500 m)")</f>
        <v>Existe-t-il des espaces de détente adaptés au groupe cible (p. ex. espaces extérieurs avec sièges, parcs) dans les environs ou dans l'immeuble prévu ? (distance à pied &lt; 500 m)</v>
      </c>
      <c r="H90" s="500"/>
      <c r="I90" s="925" t="str">
        <f>IF($AG$28=$AJ$6,AD90,"Nel quartiere o nell'immobile in progetto sono disponibili spazi aperti adatti al gruppo target per la ricreazione (ad es. aree esterne con posti a sedere, parchi)? (distanza a piedi &lt; 500 m)")</f>
        <v>Nel quartiere o nell'immobile in progetto sono disponibili spazi aperti adatti al gruppo target per la ricreazione (ad es. aree esterne con posti a sedere, parchi)? (distanza a piedi &lt; 500 m)</v>
      </c>
      <c r="J90" s="498"/>
      <c r="K90" s="501"/>
      <c r="L90" s="502"/>
      <c r="M90" s="502"/>
      <c r="N90" s="502"/>
      <c r="O90" s="502"/>
      <c r="P90" s="503" t="s">
        <v>1374</v>
      </c>
      <c r="Q90" s="498"/>
      <c r="R90" s="501"/>
      <c r="S90" s="502"/>
      <c r="T90" s="502"/>
      <c r="U90" s="502"/>
      <c r="V90" s="502"/>
      <c r="W90" s="503" t="s">
        <v>1383</v>
      </c>
      <c r="X90" s="498"/>
      <c r="Y90" s="501"/>
      <c r="Z90" s="502"/>
      <c r="AA90" s="502"/>
      <c r="AB90" s="502"/>
      <c r="AC90" s="502"/>
      <c r="AD90" s="502" t="s">
        <v>1380</v>
      </c>
      <c r="AE90" s="138" t="s">
        <v>28</v>
      </c>
      <c r="AF90" s="335"/>
      <c r="AG90" s="340"/>
      <c r="AH90" s="766"/>
      <c r="AI90" s="340"/>
      <c r="AJ90" s="43">
        <f>AJ89/3</f>
        <v>0.33333333333333331</v>
      </c>
      <c r="AK90" s="43">
        <f>AJ90*0.3</f>
        <v>9.9999999999999992E-2</v>
      </c>
      <c r="AL90" s="43">
        <v>0</v>
      </c>
      <c r="AM90" s="44"/>
      <c r="AN90" s="44"/>
      <c r="AO90" s="44" t="str">
        <f>IF(Check!S194=$AQ$4,AJ90,IF(Check!S194=$AQ$6,AK90,IF(OR(Check!S194=$AQ$5,AO89=""),AL90,"NB")))</f>
        <v>NB</v>
      </c>
      <c r="AP90" s="44"/>
      <c r="AQ90" s="44"/>
      <c r="AR90" s="44"/>
      <c r="AS90" s="41"/>
      <c r="AT90" s="41"/>
      <c r="AU90" s="41"/>
      <c r="AV90" s="442"/>
      <c r="AW90" s="44"/>
      <c r="AX90" s="41"/>
      <c r="AY90" s="42"/>
      <c r="AZ90" s="41"/>
      <c r="BA90" s="42"/>
      <c r="BB90" s="577"/>
      <c r="BC90" s="582"/>
      <c r="BD90" s="398"/>
      <c r="BE90" s="579"/>
      <c r="BF90" s="577"/>
      <c r="BG90" s="582"/>
      <c r="BH90" s="398"/>
      <c r="BI90" s="579"/>
      <c r="BJ90" s="138"/>
    </row>
    <row r="91" spans="1:62" ht="15" customHeight="1">
      <c r="A91" s="138"/>
      <c r="B91" s="498"/>
      <c r="C91" s="870" t="str">
        <f>IF(Tool!$H$7="Français",G91,IF(Tool!$H$7="Italiano",I91,E91))</f>
        <v>Sind soziale Infrastrukturen (z. B. Kindergärten, Schulen, Kinderkrippen, Quartierzentren) im Umfeld oder in der geplanten Liegenschaft vorhanden? (Gehdistanz &lt; 500 m)</v>
      </c>
      <c r="D91" s="498"/>
      <c r="E91" s="500" t="str">
        <f>IF($AG$28=$AJ$6,P91,"Sind soziale Infrastrukturen (z. B. Kindergärten, Schulen, Kinderkrippen, Quartierzentren) im Umfeld oder in der geplanten Liegenschaft vorhanden? (Gehdistanz &lt; 500 m)")</f>
        <v>Sind soziale Infrastrukturen (z. B. Kindergärten, Schulen, Kinderkrippen, Quartierzentren) im Umfeld oder in der geplanten Liegenschaft vorhanden? (Gehdistanz &lt; 500 m)</v>
      </c>
      <c r="F91" s="498"/>
      <c r="G91" s="500" t="str">
        <f>IF($AG$28=$AJ$6,W91,"Existe-t-il des infrastructures sociales (p. ex. jardins d'enfants, écoles, crèches, centres de quartier) dans les environs ou dans l'immeuble prévu ? (distance à pied &lt; 500 m)")</f>
        <v>Existe-t-il des infrastructures sociales (p. ex. jardins d'enfants, écoles, crèches, centres de quartier) dans les environs ou dans l'immeuble prévu ? (distance à pied &lt; 500 m)</v>
      </c>
      <c r="H91" s="500"/>
      <c r="I91" s="925" t="str">
        <f>IF($AG$28=$AJ$6,AD91,"Le infrastrutture sociali (ad es. asili, scuole, nidi, centri di quartiere) sono disponibili nell'area circostante o nell'immobile in progetto? (distanza a piedi &lt; 500 m)")</f>
        <v>Le infrastrutture sociali (ad es. asili, scuole, nidi, centri di quartiere) sono disponibili nell'area circostante o nell'immobile in progetto? (distanza a piedi &lt; 500 m)</v>
      </c>
      <c r="J91" s="498"/>
      <c r="K91" s="501"/>
      <c r="L91" s="502"/>
      <c r="M91" s="502"/>
      <c r="N91" s="502"/>
      <c r="O91" s="502"/>
      <c r="P91" s="503" t="s">
        <v>1378</v>
      </c>
      <c r="Q91" s="498"/>
      <c r="R91" s="501"/>
      <c r="S91" s="502"/>
      <c r="T91" s="502"/>
      <c r="U91" s="502"/>
      <c r="V91" s="502"/>
      <c r="W91" s="503" t="s">
        <v>1384</v>
      </c>
      <c r="X91" s="498"/>
      <c r="Y91" s="501"/>
      <c r="Z91" s="502"/>
      <c r="AA91" s="502"/>
      <c r="AB91" s="502"/>
      <c r="AC91" s="502"/>
      <c r="AD91" s="502" t="s">
        <v>1381</v>
      </c>
      <c r="AE91" s="138" t="s">
        <v>28</v>
      </c>
      <c r="AF91" s="335"/>
      <c r="AG91" s="340"/>
      <c r="AH91" s="766"/>
      <c r="AI91" s="340"/>
      <c r="AJ91" s="43">
        <f>AJ89/3</f>
        <v>0.33333333333333331</v>
      </c>
      <c r="AK91" s="43">
        <f t="shared" ref="AK91:AK92" si="9">AJ91*0.3</f>
        <v>9.9999999999999992E-2</v>
      </c>
      <c r="AL91" s="43">
        <v>0</v>
      </c>
      <c r="AM91" s="44"/>
      <c r="AN91" s="44"/>
      <c r="AO91" s="44" t="str">
        <f>IF(Check!S197=$AQ$4,AJ91,IF(Check!S197=$AQ$6,AK91,IF(OR(Check!S197=$AQ$5,AO89=""),AL91,"NB")))</f>
        <v>NB</v>
      </c>
      <c r="AP91" s="44"/>
      <c r="AQ91" s="44"/>
      <c r="AR91" s="44"/>
      <c r="AS91" s="41"/>
      <c r="AT91" s="41"/>
      <c r="AU91" s="41"/>
      <c r="AV91" s="442"/>
      <c r="AW91" s="44"/>
      <c r="AX91" s="41"/>
      <c r="AY91" s="42"/>
      <c r="AZ91" s="41"/>
      <c r="BA91" s="42"/>
      <c r="BB91" s="577"/>
      <c r="BC91" s="582"/>
      <c r="BD91" s="398"/>
      <c r="BE91" s="579"/>
      <c r="BF91" s="577"/>
      <c r="BG91" s="582"/>
      <c r="BH91" s="398"/>
      <c r="BI91" s="579"/>
      <c r="BJ91" s="138"/>
    </row>
    <row r="92" spans="1:62" ht="15" customHeight="1">
      <c r="A92" s="138"/>
      <c r="B92" s="642" t="str">
        <f>IF(OR(Tool!H$7="Deutsch",Tool!H$7=""),"K121","C121")</f>
        <v>K121</v>
      </c>
      <c r="C92" s="872" t="str">
        <f>IF(Tool!$H$7="Français",G92,IF(Tool!$H$7="Italiano",I92,E92))</f>
        <v>Besteht für das nähere Projektumfeld (max. 10 Minuten Gehdistanz) das Angebot einer niederschwellig zugänglichen Erholungsinfrastruktur bei verlängerten Hitzeperioden mit beschatteten Grünflächen, zugänglichen Wasseranlagen und kühlen Innenräumen?</v>
      </c>
      <c r="D92" s="642" t="str">
        <f>$B92</f>
        <v>K121</v>
      </c>
      <c r="E92" s="940" t="s">
        <v>657</v>
      </c>
      <c r="F92" s="642" t="str">
        <f>$B92</f>
        <v>K121</v>
      </c>
      <c r="G92" s="940" t="s">
        <v>1736</v>
      </c>
      <c r="H92" s="642" t="str">
        <f>$B92</f>
        <v>K121</v>
      </c>
      <c r="I92" s="656" t="s">
        <v>1747</v>
      </c>
      <c r="J92" s="642" t="str">
        <f>$B92</f>
        <v>K121</v>
      </c>
      <c r="K92" s="941"/>
      <c r="L92" s="941"/>
      <c r="M92" s="941"/>
      <c r="N92" s="941"/>
      <c r="O92" s="941"/>
      <c r="P92" s="942"/>
      <c r="Q92" s="642" t="str">
        <f>$B92</f>
        <v>K121</v>
      </c>
      <c r="R92" s="941"/>
      <c r="S92" s="941"/>
      <c r="T92" s="941"/>
      <c r="U92" s="941"/>
      <c r="V92" s="941"/>
      <c r="W92" s="942"/>
      <c r="X92" s="642" t="str">
        <f>$B92</f>
        <v>K121</v>
      </c>
      <c r="Y92" s="941"/>
      <c r="Z92" s="941"/>
      <c r="AA92" s="941"/>
      <c r="AB92" s="941"/>
      <c r="AC92" s="941"/>
      <c r="AD92" s="942"/>
      <c r="AE92" s="138" t="s">
        <v>28</v>
      </c>
      <c r="AF92" s="335"/>
      <c r="AG92" s="340"/>
      <c r="AH92" s="766"/>
      <c r="AI92" s="340"/>
      <c r="AJ92" s="43">
        <f>AJ89/3</f>
        <v>0.33333333333333331</v>
      </c>
      <c r="AK92" s="43">
        <f t="shared" si="9"/>
        <v>9.9999999999999992E-2</v>
      </c>
      <c r="AL92" s="43">
        <v>0</v>
      </c>
      <c r="AM92" s="44"/>
      <c r="AN92" s="44"/>
      <c r="AO92" s="44" t="str">
        <f>IF(Check!S200=$AQ$4,AJ92,IF(Check!S200=$AQ$6,AK92,IF(OR(Check!S200=$AQ$5,AO89=""),AL92,"NB")))</f>
        <v>NB</v>
      </c>
      <c r="AP92" s="44"/>
      <c r="AQ92" s="44"/>
      <c r="AR92" s="44"/>
      <c r="AS92" s="41"/>
      <c r="AT92" s="41"/>
      <c r="AU92" s="41"/>
      <c r="AV92" s="442"/>
      <c r="AW92" s="44"/>
      <c r="AX92" s="41"/>
      <c r="AY92" s="42"/>
      <c r="AZ92" s="41"/>
      <c r="BA92" s="42"/>
      <c r="BB92" s="577"/>
      <c r="BC92" s="582"/>
      <c r="BD92" s="398"/>
      <c r="BE92" s="579"/>
      <c r="BF92" s="577"/>
      <c r="BG92" s="582"/>
      <c r="BH92" s="398"/>
      <c r="BI92" s="579"/>
      <c r="BJ92" s="138"/>
    </row>
    <row r="93" spans="1:62" ht="15" customHeight="1">
      <c r="A93" s="138"/>
      <c r="B93" s="927"/>
      <c r="C93" s="872" t="str">
        <f>IF(Tool!$H$7="Français",G93,IF(Tool!$H$7="Italiano",I93,E93))</f>
        <v>Sind öffentliche Grünanlagen mit genügendem Abkühlungspotenzial (Beschattung, Wasserflächen, grossflächige Brunnen) in zehnminütiger Gehdistanz (&lt; 1 km zu Fuss) vom Projektumfeld vorhanden?</v>
      </c>
      <c r="D93" s="927"/>
      <c r="E93" s="940" t="s">
        <v>656</v>
      </c>
      <c r="F93" s="642"/>
      <c r="G93" s="940" t="s">
        <v>655</v>
      </c>
      <c r="H93" s="656"/>
      <c r="I93" s="656" t="s">
        <v>1748</v>
      </c>
      <c r="J93" s="642"/>
      <c r="K93" s="940"/>
      <c r="L93" s="941"/>
      <c r="M93" s="941"/>
      <c r="N93" s="941"/>
      <c r="O93" s="941"/>
      <c r="P93" s="942"/>
      <c r="Q93" s="642"/>
      <c r="R93" s="656"/>
      <c r="S93" s="941"/>
      <c r="T93" s="941"/>
      <c r="U93" s="941"/>
      <c r="V93" s="941"/>
      <c r="W93" s="942"/>
      <c r="X93" s="642"/>
      <c r="Y93" s="656"/>
      <c r="Z93" s="941"/>
      <c r="AA93" s="941"/>
      <c r="AB93" s="941"/>
      <c r="AC93" s="941"/>
      <c r="AD93" s="942"/>
      <c r="AE93" s="138" t="s">
        <v>28</v>
      </c>
      <c r="AF93" s="824">
        <f>AQ25</f>
        <v>113</v>
      </c>
      <c r="AG93" s="818" t="str">
        <f>AR25</f>
        <v>Partizipation</v>
      </c>
      <c r="AH93" s="1016"/>
      <c r="AI93" s="768"/>
      <c r="AJ93" s="519">
        <v>1</v>
      </c>
      <c r="AK93" s="519" t="s">
        <v>46</v>
      </c>
      <c r="AL93" s="520">
        <v>0</v>
      </c>
      <c r="AM93" s="1020"/>
      <c r="AN93" s="1020"/>
      <c r="AO93" s="1020" t="str">
        <f>IF(Check!S203=$AQ$4,AJ93,IF(OR(Check!S203=$AQ$5,Check!S203=$AQ$6),AL93,"NB"))</f>
        <v>NB</v>
      </c>
      <c r="AP93" s="1031"/>
      <c r="AQ93" s="1020" t="str">
        <f>IF(AP93=1,1,
IF(AO93=1,1,
IF(COUNTIF(AO94:AO96,"NB"),"NB",
IF(SUM(AO94:AO96)&gt;1,1,
IF(AND(SUM(AO94:AO96)&gt;=0,SUM(AO94:AO96)&lt;=1),SUM(AO94:AO96),"NB")))))</f>
        <v>NB</v>
      </c>
      <c r="AR93" s="1020"/>
      <c r="AS93" s="1032" t="str">
        <f>IF(AQ93="NB","NB",AQ93)</f>
        <v>NB</v>
      </c>
      <c r="AT93" s="1022"/>
      <c r="AU93" s="1022"/>
      <c r="AV93" s="1026"/>
      <c r="AW93" s="1020"/>
      <c r="AX93" s="1022"/>
      <c r="AY93" s="1027"/>
      <c r="AZ93" s="1022"/>
      <c r="BA93" s="1027"/>
      <c r="BB93" s="577" t="str">
        <f>IF($AS$93="NB","",
IF($AS$93&gt;=0.85,AF93&amp;" "&amp;AG93&amp;"; ",""))</f>
        <v/>
      </c>
      <c r="BC93" s="582" t="str">
        <f>IF($AS$93="NB","",
IF(AND($AS$93&gt;=0.65,$AS$93&lt;0.85),AF93&amp;" "&amp;AG93&amp;"; ",""))</f>
        <v/>
      </c>
      <c r="BD93" s="398" t="str">
        <f>IF($AS$93="NB","",
IF(AND($AS$93&gt;=0.5,$AS$93&lt;0.65),AF93&amp;" "&amp;AG93&amp;"; ",""))</f>
        <v/>
      </c>
      <c r="BE93" s="579" t="str">
        <f>IF($AS$93="NB","",
IF($AS$93&lt;0.5,AF93&amp;" "&amp;AG93&amp;"; ",""))</f>
        <v/>
      </c>
      <c r="BF93" s="577" t="str">
        <f>IF($AS$93="NB","",
IF($AS$93&gt;=0.85,AF93&amp;" ",""))</f>
        <v/>
      </c>
      <c r="BG93" s="582" t="str">
        <f>IF($AS$93="NB","",
IF(AND($AS$93&gt;=0.65,$AS$93&lt;0.85),AF93&amp;" ",""))</f>
        <v/>
      </c>
      <c r="BH93" s="398" t="str">
        <f>IF($AS$93="NB","",
IF(AND($AS$93&gt;=0.5,$AS$93&lt;0.65),AF93&amp;" ",""))</f>
        <v/>
      </c>
      <c r="BI93" s="579" t="str">
        <f>IF($AS$93="NB","",
IF($AS$93&lt;0.5,AF93&amp;" ",""))</f>
        <v/>
      </c>
      <c r="BJ93" s="138"/>
    </row>
    <row r="94" spans="1:62" ht="15" customHeight="1">
      <c r="A94" s="138"/>
      <c r="B94" s="933"/>
      <c r="C94" s="872" t="str">
        <f>IF(Tool!$H$7="Français",G94,IF(Tool!$H$7="Italiano",I94,E94))</f>
        <v>Sind zugängliche Wasseranlagen (öffentliche Schwimmbäder, Seen, Flüsse, Sprühnebelanlagen, Wasserspielplätze), welche Bademöglichkeiten oder körperliche Abkühlung anbieten im Projektumfeld vorhanden? (Distanz &lt; 2 km zu Fuss)</v>
      </c>
      <c r="D94" s="927"/>
      <c r="E94" s="940" t="str">
        <f>IF($AG$28=$AJ$6,P94,"Sind zugängliche Wasseranlagen (öffentliche Schwimmbäder, Seen, Flüsse, Sprühnebelanlagen, Wasserspielplätze), welche Bademöglichkeiten oder körperliche Abkühlung anbieten im Projektumfeld vorhanden? (Distanz &lt; 2 km zu Fuss)")</f>
        <v>Sind zugängliche Wasseranlagen (öffentliche Schwimmbäder, Seen, Flüsse, Sprühnebelanlagen, Wasserspielplätze), welche Bademöglichkeiten oder körperliche Abkühlung anbieten im Projektumfeld vorhanden? (Distanz &lt; 2 km zu Fuss)</v>
      </c>
      <c r="F94" s="642"/>
      <c r="G94" s="940" t="str">
        <f>IF($AG$28=$AJ$6,W94,"Des installations aquatiques (piscines, lacs, rivières, brumisateurs, aires de jeux aquatiques publiques) avec des possibilités de baignade ou du refroidissement physique sont-elles accessibles dans les environs du projet ? (Distance &lt; 2 km à pied)")</f>
        <v>Des installations aquatiques (piscines, lacs, rivières, brumisateurs, aires de jeux aquatiques publiques) avec des possibilités de baignade ou du refroidissement physique sont-elles accessibles dans les environs du projet ? (Distance &lt; 2 km à pied)</v>
      </c>
      <c r="H94" s="656"/>
      <c r="I94" s="656" t="str">
        <f>IF($AG$28=$AJ$6,AD94,"Ci sono strutture acquatiche accessibili (piscine pubbliche, laghi, fiumi, parchi di spruzzatura, parchi giochi acquatici) che offrono opportunità di balneazione o di raffrescarsi nell'area del progetto? (Distanza &lt; 2 km a piedi)")</f>
        <v>Ci sono strutture acquatiche accessibili (piscine pubbliche, laghi, fiumi, parchi di spruzzatura, parchi giochi acquatici) che offrono opportunità di balneazione o di raffrescarsi nell'area del progetto? (Distanza &lt; 2 km a piedi)</v>
      </c>
      <c r="J94" s="642"/>
      <c r="K94" s="940"/>
      <c r="L94" s="941"/>
      <c r="M94" s="941"/>
      <c r="N94" s="941"/>
      <c r="O94" s="941"/>
      <c r="P94" s="646" t="s">
        <v>1386</v>
      </c>
      <c r="Q94" s="642"/>
      <c r="R94" s="656"/>
      <c r="S94" s="941"/>
      <c r="T94" s="941"/>
      <c r="U94" s="941"/>
      <c r="V94" s="941"/>
      <c r="W94" s="646" t="s">
        <v>1756</v>
      </c>
      <c r="X94" s="642"/>
      <c r="Y94" s="656"/>
      <c r="Z94" s="941"/>
      <c r="AA94" s="941"/>
      <c r="AB94" s="941"/>
      <c r="AC94" s="941"/>
      <c r="AD94" s="646" t="s">
        <v>1749</v>
      </c>
      <c r="AE94" s="138" t="s">
        <v>28</v>
      </c>
      <c r="AF94" s="335"/>
      <c r="AG94" s="340"/>
      <c r="AH94" s="766"/>
      <c r="AI94" s="340"/>
      <c r="AJ94" s="43">
        <v>0.33333333333333337</v>
      </c>
      <c r="AK94" s="43">
        <f>AJ94*0.3</f>
        <v>0.1</v>
      </c>
      <c r="AL94" s="43">
        <v>0</v>
      </c>
      <c r="AM94" s="44"/>
      <c r="AN94" s="44"/>
      <c r="AO94" s="44" t="str">
        <f>IF(Check!S206=$AQ$4,AJ94,IF(Check!S206=$AQ$6,AK94,IF(OR(Check!S206=$AQ$5,AO93=""),AL94,"NB")))</f>
        <v>NB</v>
      </c>
      <c r="AP94" s="1036"/>
      <c r="AQ94" s="1038"/>
      <c r="AR94" s="44"/>
      <c r="AS94" s="41"/>
      <c r="AT94" s="41"/>
      <c r="AU94" s="41"/>
      <c r="AV94" s="442"/>
      <c r="AW94" s="44"/>
      <c r="AX94" s="41"/>
      <c r="AY94" s="42"/>
      <c r="AZ94" s="41"/>
      <c r="BA94" s="42"/>
      <c r="BB94" s="577"/>
      <c r="BC94" s="582"/>
      <c r="BD94" s="398"/>
      <c r="BE94" s="579"/>
      <c r="BF94" s="577"/>
      <c r="BG94" s="582"/>
      <c r="BH94" s="398"/>
      <c r="BI94" s="579"/>
      <c r="BJ94" s="138"/>
    </row>
    <row r="95" spans="1:62" ht="15" customHeight="1">
      <c r="A95" s="138"/>
      <c r="B95" s="642"/>
      <c r="C95" s="872" t="str">
        <f>IF(Tool!$H$7="Français",G95,IF(Tool!$H$7="Italiano",I95,E95))</f>
        <v>Sind niederschwellig zugängliche, kühle Innenräume im Projektumfeld vorhanden? (Café, Bar, Gemeinschaftszentrum, Jugendzentrum o.ä.?) (Distanz &lt; 1 km zu Fuss)</v>
      </c>
      <c r="D95" s="927"/>
      <c r="E95" s="940" t="str">
        <f>IF($AG$28=$AJ$6,P95,"Sind niederschwellig zugängliche, kühle Innenräume im Projektumfeld vorhanden? (Café, Bar, Gemeinschaftszentrum, Jugendzentrum o.ä.?) (Distanz &lt; 1 km zu Fuss)")</f>
        <v>Sind niederschwellig zugängliche, kühle Innenräume im Projektumfeld vorhanden? (Café, Bar, Gemeinschaftszentrum, Jugendzentrum o.ä.?) (Distanz &lt; 1 km zu Fuss)</v>
      </c>
      <c r="F95" s="642"/>
      <c r="G95" s="940" t="str">
        <f>IF($AG$28=$AJ$6,W95,"Existe-t-il des espaces intérieurs rafraichis et accessibles dans l'environnement du projet ? (café, bar, centre communautaire, centre de jeunesse ou autre ?) (Distance &lt; 1 km à pied)")</f>
        <v>Existe-t-il des espaces intérieurs rafraichis et accessibles dans l'environnement du projet ? (café, bar, centre communautaire, centre de jeunesse ou autre ?) (Distance &lt; 1 km à pied)</v>
      </c>
      <c r="H95" s="656"/>
      <c r="I95" s="656" t="str">
        <f>IF($AG$28=$AJ$6,AD95,"Ci sono spazi interni facilmente accessibili e freschi nell'ambiente del progetto? (Caffè, bar, centro sociale, centro giovanile o simili?) (Distanza &lt; 1 km a piedi)")</f>
        <v>Ci sono spazi interni facilmente accessibili e freschi nell'ambiente del progetto? (Caffè, bar, centro sociale, centro giovanile o simili?) (Distanza &lt; 1 km a piedi)</v>
      </c>
      <c r="J95" s="642"/>
      <c r="K95" s="940"/>
      <c r="L95" s="941"/>
      <c r="M95" s="941"/>
      <c r="N95" s="941"/>
      <c r="O95" s="941"/>
      <c r="P95" s="646" t="s">
        <v>1385</v>
      </c>
      <c r="Q95" s="642"/>
      <c r="R95" s="656"/>
      <c r="S95" s="941"/>
      <c r="T95" s="941"/>
      <c r="U95" s="941"/>
      <c r="V95" s="941"/>
      <c r="W95" s="646" t="s">
        <v>1755</v>
      </c>
      <c r="X95" s="642"/>
      <c r="Y95" s="656"/>
      <c r="Z95" s="941"/>
      <c r="AA95" s="941"/>
      <c r="AB95" s="941"/>
      <c r="AC95" s="941"/>
      <c r="AD95" s="646" t="s">
        <v>1387</v>
      </c>
      <c r="AE95" s="138" t="s">
        <v>28</v>
      </c>
      <c r="AF95" s="335"/>
      <c r="AG95" s="340"/>
      <c r="AH95" s="766"/>
      <c r="AI95" s="340"/>
      <c r="AJ95" s="43">
        <v>0.33333333333333331</v>
      </c>
      <c r="AK95" s="43">
        <f t="shared" ref="AK95:AK96" si="10">AJ95*0.3</f>
        <v>9.9999999999999992E-2</v>
      </c>
      <c r="AL95" s="43">
        <v>0</v>
      </c>
      <c r="AM95" s="44"/>
      <c r="AN95" s="44"/>
      <c r="AO95" s="44" t="str">
        <f>IF(Check!S209=$AQ$4,AJ95,IF(Check!S209=$AQ$6,AK95,IF(OR(Check!S209=$AQ$5,AO93=""),AL95,"NB")))</f>
        <v>NB</v>
      </c>
      <c r="AP95" s="44"/>
      <c r="AQ95" s="44"/>
      <c r="AR95" s="44"/>
      <c r="AS95" s="41"/>
      <c r="AT95" s="41"/>
      <c r="AU95" s="41"/>
      <c r="AV95" s="442"/>
      <c r="AW95" s="44"/>
      <c r="AX95" s="41"/>
      <c r="AY95" s="42"/>
      <c r="AZ95" s="41"/>
      <c r="BA95" s="42"/>
      <c r="BB95" s="577"/>
      <c r="BC95" s="582"/>
      <c r="BD95" s="398"/>
      <c r="BE95" s="579"/>
      <c r="BF95" s="577"/>
      <c r="BG95" s="582"/>
      <c r="BH95" s="398"/>
      <c r="BI95" s="579"/>
      <c r="BJ95" s="138"/>
    </row>
    <row r="96" spans="1:62" ht="15" customHeight="1">
      <c r="A96" s="138"/>
      <c r="B96" s="498">
        <v>122</v>
      </c>
      <c r="C96" s="870" t="str">
        <f>IF(Tool!$H$7="Français",G96,IF(Tool!$H$7="Italiano",I96,E96))</f>
        <v>Sind über die die gesetzlichen Vorgaben zum hindernisfreien Bauen hinaus weitere Massnahmen gemäss SIA 500 in den Themenbereichen bauliche Strukturen, Anpassbarkeit und Nutzerfreundlichkeit getroffen, die die den Komfort und die Zugänglichkeit für alle Nutzergruppen verbessern?</v>
      </c>
      <c r="D96" s="498">
        <f>$B96</f>
        <v>122</v>
      </c>
      <c r="E96" s="936" t="s">
        <v>658</v>
      </c>
      <c r="F96" s="498">
        <f>$B96</f>
        <v>122</v>
      </c>
      <c r="G96" s="936" t="s">
        <v>659</v>
      </c>
      <c r="H96" s="498">
        <f>$B96</f>
        <v>122</v>
      </c>
      <c r="I96" s="925" t="s">
        <v>660</v>
      </c>
      <c r="J96" s="498">
        <f>$B96</f>
        <v>122</v>
      </c>
      <c r="K96" s="937"/>
      <c r="L96" s="938"/>
      <c r="M96" s="938"/>
      <c r="N96" s="938"/>
      <c r="O96" s="938"/>
      <c r="P96" s="939"/>
      <c r="Q96" s="498">
        <f>$B96</f>
        <v>122</v>
      </c>
      <c r="R96" s="937"/>
      <c r="S96" s="938"/>
      <c r="T96" s="938"/>
      <c r="U96" s="938"/>
      <c r="V96" s="938"/>
      <c r="W96" s="939"/>
      <c r="X96" s="498">
        <f>$B96</f>
        <v>122</v>
      </c>
      <c r="Y96" s="937"/>
      <c r="Z96" s="938"/>
      <c r="AA96" s="938"/>
      <c r="AB96" s="938"/>
      <c r="AC96" s="938"/>
      <c r="AD96" s="939"/>
      <c r="AE96" s="138" t="s">
        <v>28</v>
      </c>
      <c r="AF96" s="335" t="s">
        <v>28</v>
      </c>
      <c r="AG96" s="340"/>
      <c r="AH96" s="766"/>
      <c r="AI96" s="340"/>
      <c r="AJ96" s="43">
        <v>0.33333333333333337</v>
      </c>
      <c r="AK96" s="43">
        <f t="shared" si="10"/>
        <v>0.1</v>
      </c>
      <c r="AL96" s="43">
        <v>0</v>
      </c>
      <c r="AM96" s="44"/>
      <c r="AN96" s="44"/>
      <c r="AO96" s="44" t="str">
        <f>IF(Check!S212=$AQ$4,AJ96,IF(Check!S212=$AQ$6,AK96,IF(OR(Check!S212=$AQ$5,AO93=""),AL96,"NB")))</f>
        <v>NB</v>
      </c>
      <c r="AP96" s="44"/>
      <c r="AQ96" s="44"/>
      <c r="AR96" s="44"/>
      <c r="AS96" s="41"/>
      <c r="AT96" s="41"/>
      <c r="AU96" s="41"/>
      <c r="AV96" s="442"/>
      <c r="AW96" s="44"/>
      <c r="AX96" s="41"/>
      <c r="AY96" s="42"/>
      <c r="AZ96" s="41"/>
      <c r="BA96" s="42"/>
      <c r="BB96" s="577"/>
      <c r="BC96" s="582"/>
      <c r="BD96" s="398"/>
      <c r="BE96" s="579"/>
      <c r="BF96" s="577"/>
      <c r="BG96" s="582"/>
      <c r="BH96" s="398"/>
      <c r="BI96" s="579"/>
      <c r="BJ96" s="138"/>
    </row>
    <row r="97" spans="1:62" ht="15" customHeight="1">
      <c r="A97" s="138"/>
      <c r="B97" s="498"/>
      <c r="C97" s="870" t="str">
        <f>IF(Tool!$H$7="Français",G97,IF(Tool!$H$7="Italiano",I97,E97))</f>
        <v>Ist die Bewilligungsfähigkeit des Bauprojektes hinsichtlich hindernisfreien Bauens gegeben?</v>
      </c>
      <c r="D97" s="498"/>
      <c r="E97" s="936" t="s">
        <v>661</v>
      </c>
      <c r="F97" s="498"/>
      <c r="G97" s="936" t="s">
        <v>662</v>
      </c>
      <c r="H97" s="925"/>
      <c r="I97" s="925" t="s">
        <v>1750</v>
      </c>
      <c r="J97" s="498"/>
      <c r="K97" s="937"/>
      <c r="L97" s="938"/>
      <c r="M97" s="938"/>
      <c r="N97" s="938"/>
      <c r="O97" s="938"/>
      <c r="P97" s="939"/>
      <c r="Q97" s="498"/>
      <c r="R97" s="937"/>
      <c r="S97" s="938"/>
      <c r="T97" s="938"/>
      <c r="U97" s="938"/>
      <c r="V97" s="938"/>
      <c r="W97" s="939"/>
      <c r="X97" s="498"/>
      <c r="Y97" s="937"/>
      <c r="Z97" s="938"/>
      <c r="AA97" s="938"/>
      <c r="AB97" s="938"/>
      <c r="AC97" s="938"/>
      <c r="AD97" s="939"/>
      <c r="AE97" s="138" t="s">
        <v>28</v>
      </c>
      <c r="AF97" s="1006" t="str">
        <f>AT$26</f>
        <v>K113a</v>
      </c>
      <c r="AG97" s="1003" t="str">
        <f>AU26</f>
        <v>Sensibilisierung &amp; Nutzerverhalten</v>
      </c>
      <c r="AH97" s="1007"/>
      <c r="AI97" s="1003"/>
      <c r="AJ97" s="1008">
        <v>1</v>
      </c>
      <c r="AK97" s="1008" t="s">
        <v>46</v>
      </c>
      <c r="AL97" s="1008">
        <v>0</v>
      </c>
      <c r="AM97" s="1012"/>
      <c r="AN97" s="1012"/>
      <c r="AO97" s="1023" t="str">
        <f>IF(Check!S215=$AQ$4,AJ97,IF(OR(Check!S215=$AQ$5,Check!S215=$AQ$6),AL97,"NB"))</f>
        <v>NB</v>
      </c>
      <c r="AP97" s="1012"/>
      <c r="AQ97" s="1012"/>
      <c r="AR97" s="1012"/>
      <c r="AS97" s="1012"/>
      <c r="AT97" s="1012"/>
      <c r="AU97" s="1012"/>
      <c r="AV97" s="704" t="str">
        <f>IF(AP97=1,1,
IF(AO97=1,1,
IF(COUNTIF(AO98:AO100,"NB"),"NB",
IF(SUM(AO98:AO100)&gt;1,1,
IF(AND(SUM(AO98:AO100)&gt;=0,SUM(AO98:AO100)&lt;=1),SUM(AO98:AO100),"NB")))))</f>
        <v>NB</v>
      </c>
      <c r="AW97" s="655" t="str">
        <f>IF(AV97="NB","NB",AV97)</f>
        <v>NB</v>
      </c>
      <c r="AX97" s="1012"/>
      <c r="AY97" s="1010"/>
      <c r="AZ97" s="1037" t="str">
        <f>AW97</f>
        <v>NB</v>
      </c>
      <c r="BA97" s="1010"/>
      <c r="BB97" s="577" t="str">
        <f>IF($AW$97="NB","",
IF($AW$97&gt;=0.85,AF97&amp;" "&amp;AG97&amp;"; ",""))</f>
        <v/>
      </c>
      <c r="BC97" s="582" t="str">
        <f>IF($AW$97="NB","",
IF(AND($AW$97&gt;=0.65,$AW$97&lt;0.85),AF97&amp;" "&amp;AG97&amp;"; ",""))</f>
        <v/>
      </c>
      <c r="BD97" s="398" t="str">
        <f>IF($AW$97="NB","",
IF(AND($AW$97&gt;=0.5,$AW$97&lt;0.65),AF97&amp;" "&amp;AG97&amp;"; ",""))</f>
        <v/>
      </c>
      <c r="BE97" s="579" t="str">
        <f>IF($AW$97="NB","",
IF($AW$97&lt;0.5,AF97&amp;" "&amp;AG97&amp;"; ",""))</f>
        <v/>
      </c>
      <c r="BF97" s="577" t="str">
        <f>IF($AW$97="NB","",
IF($AW$97&gt;=0.85,AF97&amp;" ",""))</f>
        <v/>
      </c>
      <c r="BG97" s="582" t="str">
        <f>IF($AW$97="NB","",
IF(AND($AW$97&gt;=0.65,$AW$97&lt;0.85),AF97&amp;" ",""))</f>
        <v/>
      </c>
      <c r="BH97" s="398" t="str">
        <f>IF($AW$97="NB","",
IF(AND($AW$97&gt;=0.5,$AW$97&lt;0.65),AF97&amp;" ",""))</f>
        <v/>
      </c>
      <c r="BI97" s="579" t="str">
        <f>IF($AW$97="NB","",
IF($AW$97&lt;0.5,AF97&amp;" ",""))</f>
        <v/>
      </c>
      <c r="BJ97" s="138"/>
    </row>
    <row r="98" spans="1:62" ht="15" customHeight="1">
      <c r="A98" s="138"/>
      <c r="B98" s="498"/>
      <c r="C98" s="870" t="str">
        <f>IF(Tool!$H$7="Français",G98,IF(Tool!$H$7="Italiano",I98,E98))</f>
        <v>Werden erhöhte Anforderungen an bauliche Strukturen umgesetzt? (z. B. Korridore und Wege min. 1.40 m, schwellenfreie Türen, Zwischenpodeste bei Treppen und Rampen, rollstuhlgerechte Parkplätze)</v>
      </c>
      <c r="D98" s="498"/>
      <c r="E98" s="936" t="str">
        <f>IF(AND(AG$26=AG$4,OR(AG$25=AF$6,AG$25=AF$7)),L98,IF(AND(AG$26=AG$5,AG$25=AF$4),M98,IF(AND(AG$26=AG$5,OR(AG$25=AF$6,AG$25=AF$7)),K98,IF(AG$26=AG$6,O98,"Werden erhöhte Anforderungen an bauliche Strukturen umgesetzt? (z. B. Korridore und Wege min. 1.40 m, schwellenfreie Türen, Zwischenpodeste bei Treppen und Rampen, rollstuhlgerechte Parkplätze)"))))</f>
        <v>Werden erhöhte Anforderungen an bauliche Strukturen umgesetzt? (z. B. Korridore und Wege min. 1.40 m, schwellenfreie Türen, Zwischenpodeste bei Treppen und Rampen, rollstuhlgerechte Parkplätze)</v>
      </c>
      <c r="F98" s="498"/>
      <c r="G98" s="936" t="str">
        <f>IF(AND(AG$26=AG$4,OR(AG$25=AF$6,AG$25=AF$7)),S98,IF(AND(AG$26=AG$5,AG$25=AF$4),T98,IF(AND(AG$26=AG$5,OR(AG$25=AF$6,AG$25=AF$7)),R98,IF(AG$26=AG$6,V98,"Des exigences accrues sont-elles appliquées à la structure du bâtiment ?  (p. ex. corridors de 1.4 m, portes sans seuil, paliers intermédiaires dans les escaliers et les rampes, places de parking accessibles en fauteuil roulant)"))))</f>
        <v>Des exigences accrues sont-elles appliquées à la structure du bâtiment ?  (p. ex. corridors de 1.4 m, portes sans seuil, paliers intermédiaires dans les escaliers et les rampes, places de parking accessibles en fauteuil roulant)</v>
      </c>
      <c r="H98" s="925"/>
      <c r="I98" s="925" t="str">
        <f>IF(AND(AG$26=AG$4,OR(AG$25=AF$6,AG$25=AF$7)),Z98,IF(AND(AG$26=AG$5,AG$25=AF$4),AA98,IF(AND(AG$26=AG$5,OR(AG$25=AF$6,AG$25=AF$7)),Y98,IF(AG$26=AG$6,AC98,"Sono stati implementati elevati requisiti per le strutture degli edifici? (ad p. es corridoi e percorsi di almeno 1.40 m, porte senza soglia, pianerottoli intermedi per scale e rampe, parcheggi accessibili alle sedie a rotelle)"))))</f>
        <v>Sono stati implementati elevati requisiti per le strutture degli edifici? (ad p. es corridoi e percorsi di almeno 1.40 m, porte senza soglia, pianerottoli intermedi per scale e rampe, parcheggi accessibili alle sedie a rotelle)</v>
      </c>
      <c r="J98" s="498"/>
      <c r="K98" s="937" t="s">
        <v>739</v>
      </c>
      <c r="L98" s="938" t="s">
        <v>740</v>
      </c>
      <c r="M98" s="938" t="s">
        <v>741</v>
      </c>
      <c r="N98" s="938"/>
      <c r="O98" s="938" t="s">
        <v>663</v>
      </c>
      <c r="P98" s="939"/>
      <c r="Q98" s="498"/>
      <c r="R98" s="938" t="s">
        <v>665</v>
      </c>
      <c r="S98" s="938" t="s">
        <v>666</v>
      </c>
      <c r="T98" s="938" t="s">
        <v>667</v>
      </c>
      <c r="U98" s="938"/>
      <c r="V98" s="938"/>
      <c r="W98" s="939" t="s">
        <v>664</v>
      </c>
      <c r="X98" s="498"/>
      <c r="Y98" s="938" t="s">
        <v>1743</v>
      </c>
      <c r="Z98" s="938" t="s">
        <v>1744</v>
      </c>
      <c r="AA98" s="938" t="s">
        <v>1745</v>
      </c>
      <c r="AB98" s="938"/>
      <c r="AC98" s="938" t="s">
        <v>1741</v>
      </c>
      <c r="AD98" s="939"/>
      <c r="AE98" s="138" t="s">
        <v>28</v>
      </c>
      <c r="AF98" s="409"/>
      <c r="AG98" s="819"/>
      <c r="AH98" s="771"/>
      <c r="AI98" s="769"/>
      <c r="AJ98" s="43">
        <v>0.33333333333333337</v>
      </c>
      <c r="AK98" s="43">
        <f>AJ98*0.3</f>
        <v>0.1</v>
      </c>
      <c r="AL98" s="43">
        <v>0</v>
      </c>
      <c r="AM98" s="44"/>
      <c r="AN98" s="44"/>
      <c r="AO98" s="44" t="str">
        <f>IF(Check!S218=$AQ$4,AJ98,IF(Check!S218=$AQ$6,AK98,IF(OR(Check!S218=$AQ$5,AO97=""),AL98,"NB")))</f>
        <v>NB</v>
      </c>
      <c r="AP98" s="981"/>
      <c r="AQ98" s="44"/>
      <c r="AR98" s="44"/>
      <c r="AS98" s="146"/>
      <c r="AT98" s="41"/>
      <c r="AU98" s="41"/>
      <c r="AV98" s="442"/>
      <c r="AW98" s="44"/>
      <c r="AX98" s="41"/>
      <c r="AY98" s="42"/>
      <c r="AZ98" s="41"/>
      <c r="BA98" s="42"/>
      <c r="BB98" s="577"/>
      <c r="BC98" s="582"/>
      <c r="BD98" s="398"/>
      <c r="BE98" s="579"/>
      <c r="BF98" s="577"/>
      <c r="BG98" s="582"/>
      <c r="BH98" s="398"/>
      <c r="BI98" s="579"/>
      <c r="BJ98" s="138"/>
    </row>
    <row r="99" spans="1:62" ht="15" customHeight="1">
      <c r="A99" s="138"/>
      <c r="B99" s="498"/>
      <c r="C99" s="870" t="str">
        <f>IF(Tool!$H$7="Français",G99,IF(Tool!$H$7="Italiano",I99,E99))</f>
        <v>Werden erhöhte Anforderungen an die Anpassbarkeit oder Nutzerfreundlichkeit umgesetzt? (z. B. Nachrüstbarkeit von Treppenlift und Handläufen, Massnahmen für Seh- und Hörbehinderte, gute Beleuchtung, nachrüstbare WC-Handgriffe, Sitzgelegenheiten im Eingangsbereich)</v>
      </c>
      <c r="D99" s="498"/>
      <c r="E99" s="936" t="str">
        <f>IF(AG$26=AG$6,O99,P99)</f>
        <v>Werden erhöhte Anforderungen an die Anpassbarkeit oder Nutzerfreundlichkeit umgesetzt? (z. B. Nachrüstbarkeit von Treppenlift und Handläufen, Massnahmen für Seh- und Hörbehinderte, gute Beleuchtung, nachrüstbare WC-Handgriffe, Sitzgelegenheiten im Eingangsbereich)</v>
      </c>
      <c r="F99" s="498"/>
      <c r="G99" s="936" t="str">
        <f>IF(AG$26=AG$6,V99,W99)</f>
        <v>Est-ce que des exigences accrues en matière d'adaptabilité ou de convivialité sont mises en œuvre ? (p. ex. possibilité d'installer ultérieurement un monte-escalier et des mains courantes, mesures pour les malvoyants et les malentendants, bon éclairage, poignées de WC pouvant être installées ultérieurement, sièges dans l'entrée)</v>
      </c>
      <c r="H99" s="925"/>
      <c r="I99" s="925" t="str">
        <f>IF(AG$26=AG$6,AC99,AD99)</f>
        <v>Sono stati implementati elevati requisiti di accessibilità o facilità d'uso? (ad esempio, installazione a posteriori di montascale e corrimano, misure per ipovedenti e ipoudenti, buona illuminazione, maniglioni dei servizi igienici riadattabili, posti a sedere nell'area d'ingresso)</v>
      </c>
      <c r="J99" s="498"/>
      <c r="K99" s="937"/>
      <c r="L99" s="938"/>
      <c r="M99" s="938"/>
      <c r="N99" s="938"/>
      <c r="O99" s="926" t="s">
        <v>669</v>
      </c>
      <c r="P99" s="939" t="s">
        <v>742</v>
      </c>
      <c r="Q99" s="926"/>
      <c r="R99" s="937"/>
      <c r="S99" s="938"/>
      <c r="T99" s="938"/>
      <c r="U99" s="938"/>
      <c r="V99" s="926" t="s">
        <v>670</v>
      </c>
      <c r="W99" s="939" t="s">
        <v>668</v>
      </c>
      <c r="X99" s="939"/>
      <c r="Y99" s="937"/>
      <c r="Z99" s="938"/>
      <c r="AA99" s="938"/>
      <c r="AB99" s="938"/>
      <c r="AC99" s="939" t="s">
        <v>1742</v>
      </c>
      <c r="AD99" s="939" t="s">
        <v>1740</v>
      </c>
      <c r="AE99" s="138"/>
      <c r="AF99" s="409"/>
      <c r="AG99" s="819"/>
      <c r="AH99" s="771"/>
      <c r="AI99" s="769"/>
      <c r="AJ99" s="43">
        <v>0.33333333333333331</v>
      </c>
      <c r="AK99" s="43">
        <f t="shared" ref="AK99:AK100" si="11">AJ99*0.3</f>
        <v>9.9999999999999992E-2</v>
      </c>
      <c r="AL99" s="43">
        <v>0</v>
      </c>
      <c r="AM99" s="44"/>
      <c r="AN99" s="44"/>
      <c r="AO99" s="44" t="str">
        <f>IF(Check!S221=$AQ$4,AJ99,IF(Check!S221=$AQ$6,AK99,IF(OR(Check!S221=$AQ$5,AO97=""),AL99,"NB")))</f>
        <v>NB</v>
      </c>
      <c r="AP99" s="981"/>
      <c r="AQ99" s="44"/>
      <c r="AR99" s="44"/>
      <c r="AS99" s="146"/>
      <c r="AT99" s="41"/>
      <c r="AU99" s="41"/>
      <c r="AV99" s="442"/>
      <c r="AW99" s="44"/>
      <c r="AX99" s="41"/>
      <c r="AY99" s="42"/>
      <c r="AZ99" s="41"/>
      <c r="BA99" s="42"/>
      <c r="BB99" s="577"/>
      <c r="BC99" s="582"/>
      <c r="BD99" s="398"/>
      <c r="BE99" s="579"/>
      <c r="BF99" s="577"/>
      <c r="BG99" s="582"/>
      <c r="BH99" s="398"/>
      <c r="BI99" s="579"/>
      <c r="BJ99" s="138"/>
    </row>
    <row r="100" spans="1:62" ht="15" customHeight="1">
      <c r="A100" s="138"/>
      <c r="B100" s="642" t="str">
        <f>IF(OR(Tool!H$7="Deutsch",Tool!H$7=""),"K122","C122")</f>
        <v>K122</v>
      </c>
      <c r="C100" s="872" t="str">
        <f>IF(Tool!$H$7="Français",G100,IF(Tool!$H$7="Italiano",I100,E100))</f>
        <v>Stehen im Gebäude hindernisfrei zugängliche Infrastruktur und Räumlichkeiten zur Verfügung, falls Personen infolge von Überhitzung einen Schwächeanfall erleiden (z. B. Trinkwasserspender, Lavabo, Liegeräume)</v>
      </c>
      <c r="D100" s="642" t="str">
        <f>$B100</f>
        <v>K122</v>
      </c>
      <c r="E100" s="641" t="s">
        <v>743</v>
      </c>
      <c r="F100" s="642" t="str">
        <f>$B100</f>
        <v>K122</v>
      </c>
      <c r="G100" s="641" t="s">
        <v>671</v>
      </c>
      <c r="H100" s="642" t="str">
        <f>$B100</f>
        <v>K122</v>
      </c>
      <c r="I100" s="648" t="s">
        <v>1751</v>
      </c>
      <c r="J100" s="642" t="str">
        <f>$B100</f>
        <v>K122</v>
      </c>
      <c r="K100" s="644"/>
      <c r="L100" s="645"/>
      <c r="M100" s="645"/>
      <c r="N100" s="645"/>
      <c r="O100" s="645"/>
      <c r="P100" s="646"/>
      <c r="Q100" s="642" t="str">
        <f>$B100</f>
        <v>K122</v>
      </c>
      <c r="R100" s="657"/>
      <c r="S100" s="686"/>
      <c r="T100" s="686"/>
      <c r="U100" s="686"/>
      <c r="V100" s="686"/>
      <c r="W100" s="643"/>
      <c r="X100" s="642" t="str">
        <f>$B100</f>
        <v>K122</v>
      </c>
      <c r="Y100" s="657"/>
      <c r="Z100" s="686"/>
      <c r="AA100" s="686"/>
      <c r="AB100" s="686"/>
      <c r="AC100" s="686"/>
      <c r="AD100" s="643"/>
      <c r="AE100" s="138" t="s">
        <v>28</v>
      </c>
      <c r="AF100" s="409"/>
      <c r="AG100" s="820"/>
      <c r="AH100" s="772"/>
      <c r="AI100" s="770"/>
      <c r="AJ100" s="43">
        <v>0.33333333333333337</v>
      </c>
      <c r="AK100" s="43">
        <f t="shared" si="11"/>
        <v>0.1</v>
      </c>
      <c r="AL100" s="43">
        <v>0</v>
      </c>
      <c r="AM100" s="44"/>
      <c r="AN100" s="44"/>
      <c r="AO100" s="44" t="str">
        <f>IF(Check!S224=$AQ$4,AJ100,IF(Check!S224=$AQ$6,AK100,IF(OR(Check!S224=$AQ$5,AO97=""),AL100,"NB")))</f>
        <v>NB</v>
      </c>
      <c r="AP100" s="981"/>
      <c r="AQ100" s="44"/>
      <c r="AR100" s="44"/>
      <c r="AS100" s="146"/>
      <c r="AT100" s="41"/>
      <c r="AU100" s="41"/>
      <c r="AV100" s="442"/>
      <c r="AW100" s="44"/>
      <c r="AX100" s="41"/>
      <c r="AY100" s="42"/>
      <c r="AZ100" s="41"/>
      <c r="BA100" s="42"/>
      <c r="BB100" s="577"/>
      <c r="BC100" s="582"/>
      <c r="BD100" s="398"/>
      <c r="BE100" s="579"/>
      <c r="BF100" s="577"/>
      <c r="BG100" s="582"/>
      <c r="BH100" s="398"/>
      <c r="BI100" s="579"/>
      <c r="BJ100" s="138"/>
    </row>
    <row r="101" spans="1:62" ht="15" customHeight="1">
      <c r="A101" s="138"/>
      <c r="B101" s="642"/>
      <c r="C101" s="872" t="str">
        <f>IF(Tool!$H$7="Français",G101,IF(Tool!$H$7="Italiano",I101,E101))</f>
        <v>Werden Anschlüsse und Flächenbedarf für Wasserspender in öffentlichen Bereichen ausgewiesen?</v>
      </c>
      <c r="D101" s="642"/>
      <c r="E101" s="641" t="s">
        <v>672</v>
      </c>
      <c r="F101" s="642"/>
      <c r="G101" s="641" t="s">
        <v>673</v>
      </c>
      <c r="H101" s="648"/>
      <c r="I101" s="648" t="s">
        <v>1752</v>
      </c>
      <c r="J101" s="642"/>
      <c r="K101" s="644"/>
      <c r="L101" s="645"/>
      <c r="M101" s="645"/>
      <c r="N101" s="645"/>
      <c r="O101" s="645"/>
      <c r="P101" s="646"/>
      <c r="Q101" s="642"/>
      <c r="R101" s="657"/>
      <c r="S101" s="686"/>
      <c r="T101" s="686"/>
      <c r="U101" s="686"/>
      <c r="V101" s="686"/>
      <c r="W101" s="643"/>
      <c r="X101" s="642"/>
      <c r="Y101" s="657"/>
      <c r="Z101" s="686"/>
      <c r="AA101" s="686"/>
      <c r="AB101" s="686"/>
      <c r="AC101" s="686"/>
      <c r="AD101" s="643"/>
      <c r="AE101" s="138"/>
      <c r="AF101" s="1006" t="str">
        <f>AT$27</f>
        <v>K113b</v>
      </c>
      <c r="AG101" s="1003" t="str">
        <f>AU27</f>
        <v>Partizipation im Klimaschutz</v>
      </c>
      <c r="AH101" s="1007"/>
      <c r="AI101" s="1003"/>
      <c r="AJ101" s="1008">
        <v>1</v>
      </c>
      <c r="AK101" s="1008" t="s">
        <v>46</v>
      </c>
      <c r="AL101" s="1008">
        <v>0</v>
      </c>
      <c r="AM101" s="1012"/>
      <c r="AN101" s="1012"/>
      <c r="AO101" s="1023" t="str">
        <f>IF(Check!S227=$AQ$4,AJ101,IF(OR(Check!S227=$AQ$6,Check!S227=$AQ$5),AL101,"NB"))</f>
        <v>NB</v>
      </c>
      <c r="AP101" s="1012"/>
      <c r="AQ101" s="1012"/>
      <c r="AR101" s="1012"/>
      <c r="AS101" s="1012"/>
      <c r="AT101" s="1012"/>
      <c r="AU101" s="1012"/>
      <c r="AV101" s="704" t="str">
        <f>IF(AP101=1,1,
IF(AO101=1,1,
IF(COUNTIF(AO102:AO104,"NB"),"NB",
IF(SUM(AO102:AO104)&gt;1,1,
IF(AND(SUM(AO102:AO104)&gt;=0,SUM(AO102:AO104)&lt;=1),SUM(AO102:AO104),"NB")))))</f>
        <v>NB</v>
      </c>
      <c r="AW101" s="655" t="str">
        <f>IF(AV101="NB","NB",AV101)</f>
        <v>NB</v>
      </c>
      <c r="AX101" s="1012"/>
      <c r="AY101" s="1035"/>
      <c r="AZ101" s="1012"/>
      <c r="BA101" s="1010" t="str">
        <f>AW101</f>
        <v>NB</v>
      </c>
      <c r="BB101" s="577" t="str">
        <f>IF($AW$101="NB","",
IF($AW$101&gt;=0.85,AF101&amp;" "&amp;AG101&amp;"; ",""))</f>
        <v/>
      </c>
      <c r="BC101" s="582" t="str">
        <f>IF($AW$101="NB","",
IF(AND($AW$101&gt;=0.65,$AW$101&lt;0.85),AF101&amp;" "&amp;AG101&amp;"; ",""))</f>
        <v/>
      </c>
      <c r="BD101" s="398" t="str">
        <f>IF($AW$101="NB","",
IF(AND($AW$101&gt;=0.5,$AW$101&lt;0.65),AF101&amp;" "&amp;AG101&amp;"; ",""))</f>
        <v/>
      </c>
      <c r="BE101" s="579" t="str">
        <f>IF($AW$101="NB","",
IF($AW$101&lt;0.5,AF101&amp;" "&amp;AG101&amp;"; ",""))</f>
        <v/>
      </c>
      <c r="BF101" s="577" t="str">
        <f>IF($AW$101="NB","",
IF($AW$101&gt;=0.85,AF101&amp;" ",""))</f>
        <v/>
      </c>
      <c r="BG101" s="582" t="str">
        <f>IF($AW$101="NB","",
IF(AND($AW$101&gt;=0.65,$AW$101&lt;0.85),AF101&amp;" ",""))</f>
        <v/>
      </c>
      <c r="BH101" s="398" t="str">
        <f>IF($AW$101="NB","",
IF(AND($AW$101&gt;=0.5,$AW$101&lt;0.65),AF101&amp;" ",""))</f>
        <v/>
      </c>
      <c r="BI101" s="579" t="str">
        <f>IF($AW$101="NB","",
IF($AW$101&lt;0.5,AF101&amp;" ",""))</f>
        <v/>
      </c>
      <c r="BJ101" s="138"/>
    </row>
    <row r="102" spans="1:62" ht="15" customHeight="1">
      <c r="A102" s="138"/>
      <c r="B102" s="642"/>
      <c r="C102" s="872" t="str">
        <f>IF(Tool!$H$7="Français",G102,IF(Tool!$H$7="Italiano",I102,E102))</f>
        <v>Werden Räumlichkeiten oder Infrastruktur zur raschen Abkühlung bzw. zur Erholung in Hitzeperioden ausgewiesen? (z. B. öffentlich zugängliche Lavabo oder Liegeräume) («Ja» bei reinen Wohnbauten)</v>
      </c>
      <c r="D102" s="642"/>
      <c r="E102" s="641" t="s">
        <v>744</v>
      </c>
      <c r="F102" s="642"/>
      <c r="G102" s="641" t="s">
        <v>1737</v>
      </c>
      <c r="H102" s="648"/>
      <c r="I102" s="648" t="s">
        <v>1753</v>
      </c>
      <c r="J102" s="642"/>
      <c r="K102" s="644"/>
      <c r="L102" s="645"/>
      <c r="M102" s="645"/>
      <c r="N102" s="645"/>
      <c r="O102" s="645"/>
      <c r="P102" s="646"/>
      <c r="Q102" s="642"/>
      <c r="R102" s="657"/>
      <c r="S102" s="686"/>
      <c r="T102" s="686"/>
      <c r="U102" s="686"/>
      <c r="V102" s="686"/>
      <c r="W102" s="643"/>
      <c r="X102" s="642"/>
      <c r="Y102" s="657"/>
      <c r="Z102" s="686"/>
      <c r="AA102" s="686"/>
      <c r="AB102" s="686"/>
      <c r="AC102" s="686"/>
      <c r="AD102" s="643"/>
      <c r="AE102" s="138"/>
      <c r="AF102" s="409"/>
      <c r="AG102" s="769"/>
      <c r="AH102" s="771"/>
      <c r="AI102" s="769"/>
      <c r="AJ102" s="43">
        <v>0.33333333333333337</v>
      </c>
      <c r="AK102" s="43">
        <f>AJ102*0.3</f>
        <v>0.1</v>
      </c>
      <c r="AL102" s="43">
        <v>0</v>
      </c>
      <c r="AM102" s="44"/>
      <c r="AN102" s="44"/>
      <c r="AO102" s="44" t="str">
        <f>IF(Check!S230=$AQ$4,AJ102,IF(Check!S230=$AQ$6,AK102,IF(OR(Check!S230=$AQ$5,AO101=""),AL102,"NB")))</f>
        <v>NB</v>
      </c>
      <c r="AP102" s="981"/>
      <c r="AQ102" s="44"/>
      <c r="AR102" s="44"/>
      <c r="AS102" s="146"/>
      <c r="AT102" s="41"/>
      <c r="AU102" s="41"/>
      <c r="AV102" s="442"/>
      <c r="AW102" s="44"/>
      <c r="AX102" s="41"/>
      <c r="AY102" s="42"/>
      <c r="AZ102" s="41"/>
      <c r="BA102" s="42"/>
      <c r="BB102" s="577"/>
      <c r="BC102" s="582"/>
      <c r="BD102" s="398"/>
      <c r="BE102" s="579"/>
      <c r="BF102" s="577"/>
      <c r="BG102" s="582"/>
      <c r="BH102" s="398"/>
      <c r="BI102" s="579"/>
      <c r="BJ102" s="138"/>
    </row>
    <row r="103" spans="1:62" ht="15" customHeight="1">
      <c r="A103" s="138"/>
      <c r="B103" s="642"/>
      <c r="C103" s="872" t="str">
        <f>IF(Tool!$H$7="Français",G103,IF(Tool!$H$7="Italiano",I103,E103))</f>
        <v>Ist das angedachte Kühl- und Erholungsangebot auch jederzeit hindernisfrei zugänglich?</v>
      </c>
      <c r="D103" s="927"/>
      <c r="E103" s="928" t="s">
        <v>674</v>
      </c>
      <c r="F103" s="927"/>
      <c r="G103" s="928" t="s">
        <v>1738</v>
      </c>
      <c r="H103" s="929"/>
      <c r="I103" s="934" t="s">
        <v>1754</v>
      </c>
      <c r="J103" s="927"/>
      <c r="K103" s="930"/>
      <c r="L103" s="931"/>
      <c r="M103" s="931"/>
      <c r="N103" s="931"/>
      <c r="O103" s="931"/>
      <c r="P103" s="932"/>
      <c r="Q103" s="927"/>
      <c r="R103" s="930"/>
      <c r="S103" s="931"/>
      <c r="T103" s="931"/>
      <c r="U103" s="931"/>
      <c r="V103" s="931"/>
      <c r="W103" s="932"/>
      <c r="X103" s="927"/>
      <c r="Y103" s="930"/>
      <c r="Z103" s="931"/>
      <c r="AA103" s="931"/>
      <c r="AB103" s="931"/>
      <c r="AC103" s="931"/>
      <c r="AD103" s="932"/>
      <c r="AE103" s="138"/>
      <c r="AF103" s="409"/>
      <c r="AG103" s="769"/>
      <c r="AH103" s="771"/>
      <c r="AI103" s="769"/>
      <c r="AJ103" s="43">
        <v>0.33333333333333331</v>
      </c>
      <c r="AK103" s="43">
        <f t="shared" ref="AK103:AK104" si="12">AJ103*0.3</f>
        <v>9.9999999999999992E-2</v>
      </c>
      <c r="AL103" s="43">
        <v>0</v>
      </c>
      <c r="AM103" s="44"/>
      <c r="AN103" s="44"/>
      <c r="AO103" s="44" t="str">
        <f>IF(Check!S233=$AQ$4,AJ103,IF(Check!S233=$AQ$6,AK103,IF(OR(Check!S233=$AQ$5,AO101=""),AL103,"NB")))</f>
        <v>NB</v>
      </c>
      <c r="AP103" s="981"/>
      <c r="AQ103" s="44"/>
      <c r="AR103" s="44"/>
      <c r="AS103" s="146"/>
      <c r="AT103" s="41"/>
      <c r="AU103" s="41"/>
      <c r="AV103" s="442"/>
      <c r="AW103" s="44"/>
      <c r="AX103" s="41"/>
      <c r="AY103" s="42"/>
      <c r="AZ103" s="41"/>
      <c r="BA103" s="42"/>
      <c r="BB103" s="577"/>
      <c r="BC103" s="582"/>
      <c r="BD103" s="398"/>
      <c r="BE103" s="579"/>
      <c r="BF103" s="577"/>
      <c r="BG103" s="582"/>
      <c r="BH103" s="398"/>
      <c r="BI103" s="579"/>
      <c r="BJ103" s="138"/>
    </row>
    <row r="104" spans="1:62" ht="15" customHeight="1">
      <c r="A104" s="138"/>
      <c r="B104" s="508"/>
      <c r="C104" s="866" t="str">
        <f>IF(Tool!$H$7="Français",G104,IF(Tool!$H$7="Italiano",I104,E104))</f>
        <v>Gebrauchsqualität</v>
      </c>
      <c r="D104" s="508"/>
      <c r="E104" s="505" t="s">
        <v>677</v>
      </c>
      <c r="F104" s="508"/>
      <c r="G104" s="497" t="s">
        <v>675</v>
      </c>
      <c r="H104" s="497"/>
      <c r="I104" s="935" t="s">
        <v>676</v>
      </c>
      <c r="J104" s="508"/>
      <c r="K104" s="886" t="str">
        <f>E104</f>
        <v>Gebrauchsqualität</v>
      </c>
      <c r="L104" s="887"/>
      <c r="M104" s="887"/>
      <c r="N104" s="887"/>
      <c r="O104" s="887"/>
      <c r="P104" s="888"/>
      <c r="Q104" s="508"/>
      <c r="R104" s="943" t="str">
        <f>G104</f>
        <v>Qualité d’usage</v>
      </c>
      <c r="S104" s="848"/>
      <c r="T104" s="848"/>
      <c r="U104" s="848"/>
      <c r="V104" s="848"/>
      <c r="W104" s="849"/>
      <c r="X104" s="508"/>
      <c r="Y104" s="943" t="str">
        <f>I104</f>
        <v>Qualità di utilizzo</v>
      </c>
      <c r="Z104" s="848"/>
      <c r="AA104" s="848"/>
      <c r="AB104" s="848"/>
      <c r="AC104" s="848"/>
      <c r="AD104" s="849"/>
      <c r="AE104" s="138"/>
      <c r="AF104" s="409"/>
      <c r="AG104" s="769"/>
      <c r="AH104" s="771"/>
      <c r="AI104" s="769"/>
      <c r="AJ104" s="43">
        <v>0.33333333333333337</v>
      </c>
      <c r="AK104" s="43">
        <f t="shared" si="12"/>
        <v>0.1</v>
      </c>
      <c r="AL104" s="43">
        <v>0</v>
      </c>
      <c r="AM104" s="44"/>
      <c r="AN104" s="44"/>
      <c r="AO104" s="44" t="str">
        <f>IF(Check!S236=$AQ$4,AJ104,IF(Check!S236=$AQ$6,AK104,IF(OR(Check!S236=$AQ$5,AO101=""),AL104,"NB")))</f>
        <v>NB</v>
      </c>
      <c r="AP104" s="981"/>
      <c r="AQ104" s="44"/>
      <c r="AR104" s="44"/>
      <c r="AS104" s="146"/>
      <c r="AT104" s="41"/>
      <c r="AU104" s="41"/>
      <c r="AV104" s="442"/>
      <c r="AW104" s="44"/>
      <c r="AX104" s="41"/>
      <c r="AY104" s="42"/>
      <c r="AZ104" s="41"/>
      <c r="BA104" s="42"/>
      <c r="BB104" s="577"/>
      <c r="BC104" s="582"/>
      <c r="BD104" s="398"/>
      <c r="BE104" s="579"/>
      <c r="BF104" s="577"/>
      <c r="BG104" s="582"/>
      <c r="BH104" s="398"/>
      <c r="BI104" s="579"/>
      <c r="BJ104" s="138"/>
    </row>
    <row r="105" spans="1:62" ht="15" customHeight="1">
      <c r="A105" s="138"/>
      <c r="B105" s="498">
        <v>131</v>
      </c>
      <c r="C105" s="870" t="str">
        <f>IF(Tool!$H$7="Français",G105,IF(Tool!$H$7="Italiano",I105,E105))</f>
        <v>Werden Innen- und Aussenräume geplant, welche niederschwellig Begegnungen und soziale Interaktion ermöglichen?</v>
      </c>
      <c r="D105" s="498">
        <f>$B105</f>
        <v>131</v>
      </c>
      <c r="E105" s="506" t="str">
        <f>"Werden Innen- und Aussenräume geplant, welche niederschwellig Begegnungen und soziale Interaktion ermöglichen?"&amp;IF(AG26=AG4,L105,IF(AG26=AG5,M105,IF(AG26=AG6,O105,)))</f>
        <v>Werden Innen- und Aussenräume geplant, welche niederschwellig Begegnungen und soziale Interaktion ermöglichen?</v>
      </c>
      <c r="F105" s="498">
        <f>$B105</f>
        <v>131</v>
      </c>
      <c r="G105" s="506" t="str">
        <f>"Est-ce que les espaces intérieurs et extérieurs sont prévus à bas seuil pour permettre des rencontres et des interactions sociales  ?"&amp;IF(AG26=AG4,S105,IF(AG26=AG5,T105,IF(AG26=AG6,V105,)))</f>
        <v>Est-ce que les espaces intérieurs et extérieurs sont prévus à bas seuil pour permettre des rencontres et des interactions sociales  ?</v>
      </c>
      <c r="H105" s="498">
        <f>$B105</f>
        <v>131</v>
      </c>
      <c r="I105" s="500" t="str">
        <f>"Gli spazi interni ed esterni sono progettati in modo da facilitare gli incontri e le interazioni sociali?"&amp;IF(AG26=AG4,Z105,IF(AG26=AG5,AA105,IF(AG26=AG6,AC105,)))</f>
        <v>Gli spazi interni ed esterni sono progettati in modo da facilitare gli incontri e le interazioni sociali?</v>
      </c>
      <c r="J105" s="498">
        <f>$B105</f>
        <v>131</v>
      </c>
      <c r="K105" s="501"/>
      <c r="L105" s="502" t="s">
        <v>745</v>
      </c>
      <c r="M105" s="502" t="s">
        <v>746</v>
      </c>
      <c r="N105" s="502"/>
      <c r="O105" s="502" t="s">
        <v>747</v>
      </c>
      <c r="P105" s="503"/>
      <c r="Q105" s="498">
        <f>$B105</f>
        <v>131</v>
      </c>
      <c r="R105" s="509"/>
      <c r="S105" s="510" t="s">
        <v>680</v>
      </c>
      <c r="T105" s="510" t="s">
        <v>681</v>
      </c>
      <c r="U105" s="510"/>
      <c r="V105" s="510" t="s">
        <v>682</v>
      </c>
      <c r="W105" s="499"/>
      <c r="X105" s="498">
        <f>$B105</f>
        <v>131</v>
      </c>
      <c r="Y105" s="509"/>
      <c r="Z105" s="510" t="s">
        <v>696</v>
      </c>
      <c r="AA105" s="510" t="s">
        <v>697</v>
      </c>
      <c r="AB105" s="510"/>
      <c r="AC105" s="510" t="s">
        <v>698</v>
      </c>
      <c r="AD105" s="499"/>
      <c r="AE105" s="138"/>
      <c r="AF105" s="1004">
        <f>AQ26</f>
        <v>121</v>
      </c>
      <c r="AG105" s="1005" t="str">
        <f>AR26</f>
        <v>Erreichbarkeit &amp; Nutzungsangebot im Quartierumfeld</v>
      </c>
      <c r="AH105" s="1014"/>
      <c r="AI105" s="1015"/>
      <c r="AJ105" s="521">
        <v>1</v>
      </c>
      <c r="AK105" s="521" t="s">
        <v>46</v>
      </c>
      <c r="AL105" s="522">
        <v>0</v>
      </c>
      <c r="AM105" s="516"/>
      <c r="AN105" s="516"/>
      <c r="AO105" s="516" t="str">
        <f>IF(Check!S$81=AK$8,0,IF(Check!S246=$AQ$4,AJ105,IF(OR(Check!S246=$AQ$5,Check!S246=$AQ$6),AL105,"NB")))</f>
        <v>NB</v>
      </c>
      <c r="AP105" s="1013"/>
      <c r="AQ105" s="516" t="str">
        <f>IF(AP105=1,1,
IF(AO105=1,1,
IF(COUNTIF(AO106:AO110,"NB"),"NB",
IF(SUM(AO106:AO110)&gt;1,1,
IF(AND(SUM(AO106:AO110)&gt;=0,SUM(AO106:AO110)&lt;=1),SUM(AO106:AO110),"NB")))))</f>
        <v>NB</v>
      </c>
      <c r="AR105" s="516"/>
      <c r="AS105" s="517" t="str">
        <f>IF(AQ105="NB","NB",AQ105)</f>
        <v>NB</v>
      </c>
      <c r="AT105" s="517" t="str">
        <f>IF(AND(AS105="NB",AS115="NB"),"NB",SUM(AS105:AS122)/2)</f>
        <v>NB</v>
      </c>
      <c r="AU105" s="517"/>
      <c r="AV105" s="1045"/>
      <c r="AW105" s="1484" t="str">
        <f>AS105</f>
        <v>NB</v>
      </c>
      <c r="AX105" s="1048" t="str">
        <f>IF(AND(AW105="NB",AW111="NB",AW119="NB"),"NB",SUM(AW105:AW122)/3)</f>
        <v>NB</v>
      </c>
      <c r="AY105" s="1047"/>
      <c r="AZ105" s="1540"/>
      <c r="BA105" s="1539" t="str">
        <f>AW105</f>
        <v>NB</v>
      </c>
      <c r="BB105" s="702" t="str">
        <f>IF($AS$105="NB","",
IF($AS$105&gt;=0.85,AF105&amp;" "&amp;AG105&amp;"; ",""))</f>
        <v/>
      </c>
      <c r="BC105" s="581" t="str">
        <f>IF($AS$105="NB","",
IF(AND($AS$105&gt;=0.65,$AS$105&lt;0.85),AF105&amp;" "&amp;AG105&amp;"; ",""))</f>
        <v/>
      </c>
      <c r="BD105" s="407" t="str">
        <f>IF($AS$105="NB","",
IF(AND($AS$105&gt;=0.5,$AS$105&lt;0.65),AF105&amp;" "&amp;AG105&amp;"; ",""))</f>
        <v/>
      </c>
      <c r="BE105" s="578" t="str">
        <f>IF($AS$105="NB","",
IF($AS$105&lt;0.5,AF105&amp;" "&amp;AG105&amp;"; ",""))</f>
        <v/>
      </c>
      <c r="BF105" s="702" t="str">
        <f>IF($AS$105="NB","",
IF($AS$105&gt;=0.85,AF105&amp;" ",""))</f>
        <v/>
      </c>
      <c r="BG105" s="581" t="str">
        <f>IF($AS$105="NB","",
IF(AND($AS$105&gt;=0.65,$AS$105&lt;0.85),AF105&amp;" ",""))</f>
        <v/>
      </c>
      <c r="BH105" s="407" t="str">
        <f>IF($AS$105="NB","",
IF(AND($AS$105&gt;=0.5,$AS$105&lt;0.65),AF105&amp;" ",""))</f>
        <v/>
      </c>
      <c r="BI105" s="578" t="str">
        <f>IF($AS$105="NB","",
IF($AS$105&lt;0.5,AF105&amp;" ",""))</f>
        <v/>
      </c>
      <c r="BJ105" s="138"/>
    </row>
    <row r="106" spans="1:62" ht="15" customHeight="1">
      <c r="A106" s="138"/>
      <c r="B106" s="498"/>
      <c r="C106" s="870" t="str">
        <f>IF(Tool!$H$7="Français",G106,IF(Tool!$H$7="Italiano",I106,E106))</f>
        <v>Stehen zugängliche Aussenräume in Gehdistanz (&lt; 5 Min.) oder auf dem Grundstück zur Verfügung, welche Begegnungen zwischen Nutzenden begünstigen?</v>
      </c>
      <c r="D106" s="498"/>
      <c r="E106" s="506" t="s">
        <v>678</v>
      </c>
      <c r="F106" s="498"/>
      <c r="G106" s="506" t="s">
        <v>1757</v>
      </c>
      <c r="H106" s="500"/>
      <c r="I106" s="500" t="s">
        <v>679</v>
      </c>
      <c r="J106" s="498"/>
      <c r="K106" s="501"/>
      <c r="L106" s="502"/>
      <c r="M106" s="502"/>
      <c r="N106" s="502"/>
      <c r="O106" s="502"/>
      <c r="P106" s="503"/>
      <c r="Q106" s="498"/>
      <c r="R106" s="509"/>
      <c r="S106" s="510"/>
      <c r="T106" s="510"/>
      <c r="U106" s="510"/>
      <c r="V106" s="510"/>
      <c r="W106" s="499"/>
      <c r="X106" s="498"/>
      <c r="Y106" s="509"/>
      <c r="Z106" s="510"/>
      <c r="AA106" s="510"/>
      <c r="AB106" s="510"/>
      <c r="AC106" s="510"/>
      <c r="AD106" s="499"/>
      <c r="AE106" s="138" t="s">
        <v>28</v>
      </c>
      <c r="AF106" s="335"/>
      <c r="AG106" s="340"/>
      <c r="AH106" s="766"/>
      <c r="AI106" s="340"/>
      <c r="AJ106" s="43">
        <f>1/5</f>
        <v>0.2</v>
      </c>
      <c r="AK106" s="396">
        <f>AJ106*0.5</f>
        <v>0.1</v>
      </c>
      <c r="AL106" s="43">
        <v>0</v>
      </c>
      <c r="AM106" s="44"/>
      <c r="AN106" s="44"/>
      <c r="AO106" s="322" t="str">
        <f>IF(OR(AG$28=0,AG$29=0,AO105="NB",AO105=""),"NB",(IF(AND(OR(AG$28=$AJ$4,AG$28=$AJ$5),OR(AG$29=AK$4,AG$29=AK$5)),AJ106,IF(AND(OR(AG$28=$AJ$4,AG$28=$AJ$5),OR(AG$29=AK$6,AG$29=AK$7)),AK106,IF(AND(AG$28=$AJ$6,OR(AG$29=AK$4,AG$29=AK$5,AG$29=AK$6,AG$29=AK$7)),AJ106,IF(AND(AG$28=$AJ$6,AG$29=AK$8),AL106,AL106))))))</f>
        <v>NB</v>
      </c>
      <c r="AP106" s="44"/>
      <c r="AQ106" s="44"/>
      <c r="AR106" s="44"/>
      <c r="AS106" s="41"/>
      <c r="AT106" s="41"/>
      <c r="AU106" s="41"/>
      <c r="AV106" s="442"/>
      <c r="AW106" s="44"/>
      <c r="AX106" s="41" t="s">
        <v>1634</v>
      </c>
      <c r="AY106" s="42" t="str">
        <f>IF(AND(AZ111="NB",AZ119="NB"),"NB",SUM(AZ105:AZ122)/2)</f>
        <v>NB</v>
      </c>
      <c r="AZ106" s="41"/>
      <c r="BA106" s="42"/>
      <c r="BB106" s="577"/>
      <c r="BC106" s="582"/>
      <c r="BD106" s="398"/>
      <c r="BE106" s="579"/>
      <c r="BF106" s="577"/>
      <c r="BG106" s="582"/>
      <c r="BH106" s="398"/>
      <c r="BI106" s="579"/>
      <c r="BJ106" s="138"/>
    </row>
    <row r="107" spans="1:62" ht="15" customHeight="1">
      <c r="A107" s="138"/>
      <c r="B107" s="498"/>
      <c r="C107" s="870" t="str">
        <f>IF(Tool!$H$7="Français",G107,IF(Tool!$H$7="Italiano",I107,E107))</f>
        <v>Steht ein gemeinschaftlich nutzbares Raumangebot für verschiedene Parteien von Nutzenden oder Externen in Gehdistanz 
(&lt; 5 Min.) oder im Gebäude zur Verfügung?</v>
      </c>
      <c r="D107" s="498"/>
      <c r="E107" s="506" t="str">
        <f>IF(AG26=AG4,L107,IF(AG26=AG5,M107,IF(AG26=AG6,O107,"Steht ein gemeinschaftlich nutzbares Raumangebot für verschiedene Parteien von Nutzenden oder Externen in Gehdistanz 
(&lt; 5 Min.) oder im Gebäude zur Verfügung?")))</f>
        <v>Steht ein gemeinschaftlich nutzbares Raumangebot für verschiedene Parteien von Nutzenden oder Externen in Gehdistanz 
(&lt; 5 Min.) oder im Gebäude zur Verfügung?</v>
      </c>
      <c r="F107" s="498"/>
      <c r="G107" s="506" t="str">
        <f>IF(AG26=AG4,S107,IF(AG26=AG5,T107,IF(AG26=AG6,V107,"Y a-t-il un espace commun utilisable par différentes groupes d'utilisateurs ou d'externes à distance de marche (&lt; 5 min.) ou dans le bâtiment ?")))</f>
        <v>Y a-t-il un espace commun utilisable par différentes groupes d'utilisateurs ou d'externes à distance de marche (&lt; 5 min.) ou dans le bâtiment ?</v>
      </c>
      <c r="H107" s="500"/>
      <c r="I107" s="500" t="str">
        <f>IF(AG26=AG4,Z106,IF(AG26=AG5,AA106,IF(AG26=AG6,AC106,"C'è uno spazio comune disponibile per diversi gruppi di utenti o esterni a pochi passi (&lt; 5 minuti) o nell'edificio?")))</f>
        <v>C'è uno spazio comune disponibile per diversi gruppi di utenti o esterni a pochi passi (&lt; 5 minuti) o nell'edificio?</v>
      </c>
      <c r="J107" s="498"/>
      <c r="K107" s="501"/>
      <c r="L107" s="502" t="s">
        <v>1472</v>
      </c>
      <c r="M107" s="502" t="s">
        <v>685</v>
      </c>
      <c r="N107" s="502"/>
      <c r="O107" s="502" t="s">
        <v>748</v>
      </c>
      <c r="P107" s="503"/>
      <c r="Q107" s="498"/>
      <c r="R107" s="509"/>
      <c r="S107" s="510" t="s">
        <v>683</v>
      </c>
      <c r="T107" s="510" t="s">
        <v>687</v>
      </c>
      <c r="U107" s="510"/>
      <c r="V107" s="510" t="s">
        <v>688</v>
      </c>
      <c r="W107" s="499"/>
      <c r="X107" s="498"/>
      <c r="Y107" s="509"/>
      <c r="Z107" s="510" t="s">
        <v>684</v>
      </c>
      <c r="AA107" s="510" t="s">
        <v>686</v>
      </c>
      <c r="AB107" s="510"/>
      <c r="AC107" s="510" t="s">
        <v>699</v>
      </c>
      <c r="AD107" s="499"/>
      <c r="AE107" s="138"/>
      <c r="AF107" s="335"/>
      <c r="AG107" s="340"/>
      <c r="AH107" s="766"/>
      <c r="AI107" s="340"/>
      <c r="AJ107" s="43">
        <f t="shared" ref="AJ107:AJ110" si="13">1/5</f>
        <v>0.2</v>
      </c>
      <c r="AK107" s="43">
        <f t="shared" ref="AK107:AK110" si="14">AJ107*0.3</f>
        <v>0.06</v>
      </c>
      <c r="AL107" s="43">
        <v>0</v>
      </c>
      <c r="AM107" s="44"/>
      <c r="AN107" s="44"/>
      <c r="AO107" s="44" t="str">
        <f>IF(Check!S$81=AK$8,0,IF(Check!S252=$AQ$4,AJ107,IF(Check!S252=$AQ$6,AK107,IF(OR(Check!S252=$AQ$5,AO105=""),AL107,"NB"))))</f>
        <v>NB</v>
      </c>
      <c r="AP107" s="44"/>
      <c r="AQ107" s="44"/>
      <c r="AR107" s="44"/>
      <c r="AS107" s="41"/>
      <c r="AT107" s="41"/>
      <c r="AU107" s="41"/>
      <c r="AV107" s="442"/>
      <c r="AW107" s="44"/>
      <c r="AX107" s="41" t="s">
        <v>1635</v>
      </c>
      <c r="AY107" s="42" t="str">
        <f>IF(AND(BA105="NB"),"NB",SUM(BA105:BA122)/1)</f>
        <v>NB</v>
      </c>
      <c r="AZ107" s="41"/>
      <c r="BA107" s="42"/>
      <c r="BB107" s="577"/>
      <c r="BC107" s="582"/>
      <c r="BD107" s="398"/>
      <c r="BE107" s="579"/>
      <c r="BF107" s="577"/>
      <c r="BG107" s="582"/>
      <c r="BH107" s="398"/>
      <c r="BI107" s="579"/>
      <c r="BJ107" s="138"/>
    </row>
    <row r="108" spans="1:62" ht="15" customHeight="1">
      <c r="A108" s="138"/>
      <c r="B108" s="498"/>
      <c r="C108" s="870" t="str">
        <f>IF(Tool!$H$7="Français",G108,IF(Tool!$H$7="Italiano",I108,E108))</f>
        <v xml:space="preserve">Besteht ein Gestaltungs- und Nutzungskonzept zu sogenannten Schwellenräumen, welche den Übergang zwischen öffentlichen und privaten Räumen kennzeichnen (z. B. Hauseingänge, Treppenräume, Korridore, Terrassen)? </v>
      </c>
      <c r="D108" s="498"/>
      <c r="E108" s="506" t="s">
        <v>749</v>
      </c>
      <c r="F108" s="498"/>
      <c r="G108" s="506" t="s">
        <v>1758</v>
      </c>
      <c r="H108" s="507"/>
      <c r="I108" s="507" t="s">
        <v>1763</v>
      </c>
      <c r="J108" s="498"/>
      <c r="K108" s="501"/>
      <c r="L108" s="502"/>
      <c r="M108" s="502"/>
      <c r="N108" s="502"/>
      <c r="O108" s="502"/>
      <c r="P108" s="503"/>
      <c r="Q108" s="498"/>
      <c r="R108" s="509"/>
      <c r="S108" s="510"/>
      <c r="T108" s="510"/>
      <c r="U108" s="510"/>
      <c r="V108" s="510"/>
      <c r="W108" s="499"/>
      <c r="X108" s="498"/>
      <c r="Y108" s="509"/>
      <c r="Z108" s="510"/>
      <c r="AA108" s="510"/>
      <c r="AB108" s="510"/>
      <c r="AC108" s="510"/>
      <c r="AD108" s="499"/>
      <c r="AE108" s="138"/>
      <c r="AF108" s="335"/>
      <c r="AG108" s="340"/>
      <c r="AH108" s="766"/>
      <c r="AI108" s="340"/>
      <c r="AJ108" s="43">
        <f t="shared" si="13"/>
        <v>0.2</v>
      </c>
      <c r="AK108" s="43">
        <f t="shared" si="14"/>
        <v>0.06</v>
      </c>
      <c r="AL108" s="43">
        <v>0</v>
      </c>
      <c r="AM108" s="44"/>
      <c r="AN108" s="44"/>
      <c r="AO108" s="44" t="str">
        <f>IF(Check!S$81=AK$8,0,IF(Check!S255=$AQ$4,AJ108,IF(Check!S255=$AQ$6,AK108,IF(OR(Check!S255=$AQ$5,AO105=""),AL108,"NB"))))</f>
        <v>NB</v>
      </c>
      <c r="AP108" s="44"/>
      <c r="AQ108" s="44"/>
      <c r="AR108" s="44"/>
      <c r="AS108" s="41"/>
      <c r="AT108" s="41"/>
      <c r="AU108" s="41"/>
      <c r="AV108" s="442"/>
      <c r="AW108" s="44"/>
      <c r="AX108" s="41" t="s">
        <v>1647</v>
      </c>
      <c r="AY108" s="42" t="str">
        <f>IF(AND(BA105="NB"),"NB",SUM(BA105:BA122)/1)</f>
        <v>NB</v>
      </c>
      <c r="AZ108" s="41"/>
      <c r="BA108" s="42"/>
      <c r="BB108" s="577"/>
      <c r="BC108" s="582"/>
      <c r="BD108" s="398"/>
      <c r="BE108" s="579"/>
      <c r="BF108" s="577"/>
      <c r="BG108" s="582"/>
      <c r="BH108" s="398"/>
      <c r="BI108" s="579"/>
      <c r="BJ108" s="138"/>
    </row>
    <row r="109" spans="1:62" ht="15" customHeight="1">
      <c r="A109" s="138"/>
      <c r="B109" s="498"/>
      <c r="C109" s="870" t="str">
        <f>IF(Tool!$H$7="Français",G109,IF(Tool!$H$7="Italiano",I109,E109))</f>
        <v>Wird die Gestaltung und Qualitätssicherung der (halb)öffentlichen Räume auch im Betrieb mit Beteiligung der Nutzenden gewährleistet?</v>
      </c>
      <c r="D109" s="498"/>
      <c r="E109" s="506" t="s">
        <v>689</v>
      </c>
      <c r="F109" s="498"/>
      <c r="G109" s="506" t="s">
        <v>690</v>
      </c>
      <c r="H109" s="500"/>
      <c r="I109" s="507" t="s">
        <v>1764</v>
      </c>
      <c r="J109" s="498"/>
      <c r="K109" s="501"/>
      <c r="L109" s="502"/>
      <c r="M109" s="502"/>
      <c r="N109" s="502"/>
      <c r="O109" s="502"/>
      <c r="P109" s="503"/>
      <c r="Q109" s="498"/>
      <c r="R109" s="509"/>
      <c r="S109" s="510"/>
      <c r="T109" s="510"/>
      <c r="U109" s="510"/>
      <c r="V109" s="510"/>
      <c r="W109" s="499"/>
      <c r="X109" s="498"/>
      <c r="Y109" s="509"/>
      <c r="Z109" s="510"/>
      <c r="AA109" s="510"/>
      <c r="AB109" s="510"/>
      <c r="AC109" s="510"/>
      <c r="AD109" s="499"/>
      <c r="AE109" s="138" t="s">
        <v>28</v>
      </c>
      <c r="AF109" s="335"/>
      <c r="AG109" s="340"/>
      <c r="AH109" s="766"/>
      <c r="AI109" s="340"/>
      <c r="AJ109" s="43">
        <f t="shared" si="13"/>
        <v>0.2</v>
      </c>
      <c r="AK109" s="43">
        <f t="shared" si="14"/>
        <v>0.06</v>
      </c>
      <c r="AL109" s="43">
        <v>0</v>
      </c>
      <c r="AM109" s="44"/>
      <c r="AN109" s="44"/>
      <c r="AO109" s="44" t="str">
        <f>IF(Check!S$81=AK$8,0,IF(Check!S258=$AQ$4,AJ109,IF(Check!S258=$AQ$6,AK109,IF(OR(Check!S258=$AQ$5,AO105=""),AL109,"NB"))))</f>
        <v>NB</v>
      </c>
      <c r="AP109" s="44"/>
      <c r="AQ109" s="44"/>
      <c r="AR109" s="44"/>
      <c r="AS109" s="41"/>
      <c r="AT109" s="41"/>
      <c r="AU109" s="41"/>
      <c r="AV109" s="442"/>
      <c r="AW109" s="44"/>
      <c r="AX109" s="41"/>
      <c r="AY109" s="42"/>
      <c r="AZ109" s="41"/>
      <c r="BA109" s="42"/>
      <c r="BB109" s="577"/>
      <c r="BC109" s="582"/>
      <c r="BD109" s="398"/>
      <c r="BE109" s="579"/>
      <c r="BF109" s="577"/>
      <c r="BG109" s="582"/>
      <c r="BH109" s="398"/>
      <c r="BI109" s="579"/>
      <c r="BJ109" s="138"/>
    </row>
    <row r="110" spans="1:62" ht="15" customHeight="1">
      <c r="A110" s="138"/>
      <c r="B110" s="642" t="str">
        <f>IF(OR(Tool!H$7="Deutsch",Tool!H$7=""),"K131","C131")</f>
        <v>K131</v>
      </c>
      <c r="C110" s="872" t="str">
        <f>IF(Tool!$H$7="Français",G110,IF(Tool!$H$7="Italiano",I110,E110))</f>
        <v>Stehen beim Bauvorhaben gemeinschaftliche, niederschwellig zugängliche Abkühlungsangebote im Innen- und Aussenbereich mit angemessener Infrastruktur 
(z. B. Beschattung, Möblierung) zur Verfü-gung, welche während Hitzeperioden eine hohe Aufenthaltsqualität anbieten?</v>
      </c>
      <c r="D110" s="642" t="str">
        <f>$B110</f>
        <v>K131</v>
      </c>
      <c r="E110" s="641" t="s">
        <v>1643</v>
      </c>
      <c r="F110" s="642" t="str">
        <f>$B110</f>
        <v>K131</v>
      </c>
      <c r="G110" s="641" t="s">
        <v>691</v>
      </c>
      <c r="H110" s="642" t="str">
        <f>$B110</f>
        <v>K131</v>
      </c>
      <c r="I110" s="671" t="s">
        <v>1765</v>
      </c>
      <c r="J110" s="642" t="str">
        <f>$B110</f>
        <v>K131</v>
      </c>
      <c r="K110" s="644"/>
      <c r="L110" s="645"/>
      <c r="M110" s="645"/>
      <c r="N110" s="645"/>
      <c r="O110" s="645"/>
      <c r="P110" s="646"/>
      <c r="Q110" s="642" t="str">
        <f>$B110</f>
        <v>K131</v>
      </c>
      <c r="R110" s="657"/>
      <c r="S110" s="645"/>
      <c r="T110" s="645"/>
      <c r="U110" s="645"/>
      <c r="V110" s="645"/>
      <c r="W110" s="646"/>
      <c r="X110" s="642" t="str">
        <f>$B110</f>
        <v>K131</v>
      </c>
      <c r="Y110" s="657"/>
      <c r="Z110" s="645"/>
      <c r="AA110" s="645"/>
      <c r="AB110" s="645"/>
      <c r="AC110" s="645"/>
      <c r="AD110" s="646"/>
      <c r="AE110" s="138" t="s">
        <v>28</v>
      </c>
      <c r="AF110" s="335"/>
      <c r="AG110" s="340"/>
      <c r="AH110" s="766"/>
      <c r="AI110" s="340"/>
      <c r="AJ110" s="43">
        <f t="shared" si="13"/>
        <v>0.2</v>
      </c>
      <c r="AK110" s="43">
        <f t="shared" si="14"/>
        <v>0.06</v>
      </c>
      <c r="AL110" s="43">
        <v>0</v>
      </c>
      <c r="AM110" s="44"/>
      <c r="AN110" s="44"/>
      <c r="AO110" s="44" t="str">
        <f>IF(Check!S$81=AK$8,0,IF(Check!S261=$AQ$4,AJ110,IF(Check!S261=$AQ$6,AK110,IF(OR(Check!S261=$AQ$5,AO105=""),AL110,"NB"))))</f>
        <v>NB</v>
      </c>
      <c r="AP110" s="44"/>
      <c r="AQ110" s="44"/>
      <c r="AR110" s="44"/>
      <c r="AS110" s="41"/>
      <c r="AT110" s="41"/>
      <c r="AU110" s="41"/>
      <c r="AV110" s="442"/>
      <c r="AW110" s="44"/>
      <c r="AX110" s="41"/>
      <c r="AY110" s="42"/>
      <c r="AZ110" s="41"/>
      <c r="BA110" s="42"/>
      <c r="BB110" s="577"/>
      <c r="BC110" s="582"/>
      <c r="BD110" s="398"/>
      <c r="BE110" s="579"/>
      <c r="BF110" s="577"/>
      <c r="BG110" s="582"/>
      <c r="BH110" s="398"/>
      <c r="BI110" s="579"/>
      <c r="BJ110" s="138"/>
    </row>
    <row r="111" spans="1:62" ht="15" customHeight="1">
      <c r="A111" s="138"/>
      <c r="B111" s="642"/>
      <c r="C111" s="872" t="str">
        <f>IF(Tool!$H$7="Français",G111,IF(Tool!$H$7="Italiano",I111,E111))</f>
        <v>Stehen beim Bauvorhaben gemeinschaftliche niederschwellig zugängliche  Innenräume zur Verfügung, welche während Hitzeperioden ein angenehmes Klima aufweisen?</v>
      </c>
      <c r="D111" s="642"/>
      <c r="E111" s="641" t="s">
        <v>692</v>
      </c>
      <c r="F111" s="642"/>
      <c r="G111" s="641" t="s">
        <v>693</v>
      </c>
      <c r="H111" s="648"/>
      <c r="I111" s="648" t="s">
        <v>1766</v>
      </c>
      <c r="J111" s="642"/>
      <c r="K111" s="644"/>
      <c r="L111" s="645"/>
      <c r="M111" s="645"/>
      <c r="N111" s="645"/>
      <c r="O111" s="645"/>
      <c r="P111" s="646"/>
      <c r="Q111" s="642"/>
      <c r="R111" s="657"/>
      <c r="S111" s="645"/>
      <c r="T111" s="645"/>
      <c r="U111" s="645"/>
      <c r="V111" s="645"/>
      <c r="W111" s="646"/>
      <c r="X111" s="642"/>
      <c r="Y111" s="657"/>
      <c r="Z111" s="645"/>
      <c r="AA111" s="645"/>
      <c r="AB111" s="645"/>
      <c r="AC111" s="645"/>
      <c r="AD111" s="646"/>
      <c r="AE111" s="138" t="s">
        <v>28</v>
      </c>
      <c r="AF111" s="1006" t="str">
        <f>AT$28</f>
        <v>K121</v>
      </c>
      <c r="AG111" s="1003" t="str">
        <f>AU28</f>
        <v>Abkühlungsangebot im Quartier</v>
      </c>
      <c r="AH111" s="1007"/>
      <c r="AI111" s="1003"/>
      <c r="AJ111" s="1008">
        <v>1</v>
      </c>
      <c r="AK111" s="1008" t="s">
        <v>46</v>
      </c>
      <c r="AL111" s="1008">
        <v>0</v>
      </c>
      <c r="AM111" s="1012"/>
      <c r="AN111" s="1012"/>
      <c r="AO111" s="1023" t="str">
        <f>IF(Check!S264=$AQ$4,AJ111,IF(OR(Check!S264=$AQ$6,Check!S264=$AQ$5,Check!S264=$AU$6),AL111,"NB"))</f>
        <v>NB</v>
      </c>
      <c r="AP111" s="1012"/>
      <c r="AQ111" s="1012"/>
      <c r="AR111" s="1012"/>
      <c r="AS111" s="1012"/>
      <c r="AT111" s="1012"/>
      <c r="AU111" s="1012"/>
      <c r="AV111" s="1009" t="str">
        <f>IF(AP111=1,1,
IF(AO111=1,1,
IF(COUNTIF(AO112:AO114,"NB"),"NB",
IF(SUM(AO112:AO114)&gt;1,1,
IF(AND(SUM(AO112:AO114)&gt;=0,SUM(AO112:AO114)&lt;=1),SUM(AO112:AO114),"NB")))))</f>
        <v>NB</v>
      </c>
      <c r="AW111" s="655" t="str">
        <f>IF(AV111="NB","NB",AV111)</f>
        <v>NB</v>
      </c>
      <c r="AX111" s="1012"/>
      <c r="AY111" s="1035"/>
      <c r="AZ111" s="1488" t="str">
        <f>AZ119</f>
        <v>NB</v>
      </c>
      <c r="BA111" s="1035"/>
      <c r="BB111" s="577" t="str">
        <f>IF($AW$111="NB","",
IF($AW$111&gt;=0.85,AF111&amp;" "&amp;AG111&amp;"; ",""))</f>
        <v/>
      </c>
      <c r="BC111" s="582" t="str">
        <f>IF($AW$111="NB","",
IF(AND($AW$111&gt;=0.65,$AW$111&lt;0.85),AF111&amp;" "&amp;AG111&amp;"; ",""))</f>
        <v/>
      </c>
      <c r="BD111" s="398" t="str">
        <f>IF($AW$111="NB","",
IF(AND($AW$111&gt;=0.5,$AW$111&lt;0.65),AF111&amp;" "&amp;AG111&amp;"; ",""))</f>
        <v/>
      </c>
      <c r="BE111" s="579" t="str">
        <f>IF($AW$111="NB","",
IF($AW$111&lt;0.5,AF111&amp;" "&amp;AG111&amp;"; ",""))</f>
        <v/>
      </c>
      <c r="BF111" s="577" t="str">
        <f>IF($AW$111="NB","",
IF($AW$111&gt;=0.85,AF111&amp;" ",""))</f>
        <v/>
      </c>
      <c r="BG111" s="582" t="str">
        <f>IF($AW$111="NB","",
IF(AND($AW$111&gt;=0.65,$AW$111&lt;0.85),AF111&amp;" ",""))</f>
        <v/>
      </c>
      <c r="BH111" s="398" t="str">
        <f>IF($AW$111="NB","",
IF(AND($AW$111&gt;=0.5,$AW$111&lt;0.65),AF111&amp;" ",""))</f>
        <v/>
      </c>
      <c r="BI111" s="579" t="str">
        <f>IF($AW$111="NB","",
IF($AW$111&lt;0.5,AF111&amp;" ",""))</f>
        <v/>
      </c>
      <c r="BJ111" s="138"/>
    </row>
    <row r="112" spans="1:62" ht="15" customHeight="1">
      <c r="A112" s="138"/>
      <c r="B112" s="642"/>
      <c r="C112" s="872" t="str">
        <f>IF(Tool!$H$7="Français",G112,IF(Tool!$H$7="Italiano",I112,E112))</f>
        <v>Sind Gemeinschaftsräume mit hoher Aufenthaltsqualität vorgesehen, die als Treffpunkt für die Gebäudenutzenden dienen und auch künftig ein angemessenes Abkühlungsangebot anbieten?</v>
      </c>
      <c r="D112" s="642"/>
      <c r="E112" s="641" t="s">
        <v>489</v>
      </c>
      <c r="F112" s="642"/>
      <c r="G112" s="641" t="s">
        <v>500</v>
      </c>
      <c r="H112" s="648"/>
      <c r="I112" s="648" t="s">
        <v>1767</v>
      </c>
      <c r="J112" s="642"/>
      <c r="K112" s="644"/>
      <c r="L112" s="645"/>
      <c r="M112" s="645"/>
      <c r="N112" s="645"/>
      <c r="O112" s="645"/>
      <c r="P112" s="646"/>
      <c r="Q112" s="642"/>
      <c r="R112" s="657"/>
      <c r="S112" s="645"/>
      <c r="T112" s="645"/>
      <c r="U112" s="645"/>
      <c r="V112" s="645"/>
      <c r="W112" s="646"/>
      <c r="X112" s="642"/>
      <c r="Y112" s="657"/>
      <c r="Z112" s="645"/>
      <c r="AA112" s="645"/>
      <c r="AB112" s="645"/>
      <c r="AC112" s="645"/>
      <c r="AD112" s="646"/>
      <c r="AE112" s="138" t="s">
        <v>28</v>
      </c>
      <c r="AF112" s="409"/>
      <c r="AG112" s="769"/>
      <c r="AH112" s="771"/>
      <c r="AI112" s="769"/>
      <c r="AJ112" s="43">
        <f>AJ111/3</f>
        <v>0.33333333333333331</v>
      </c>
      <c r="AK112" s="43">
        <f>AJ112*0.3</f>
        <v>9.9999999999999992E-2</v>
      </c>
      <c r="AL112" s="43">
        <v>0</v>
      </c>
      <c r="AM112" s="44"/>
      <c r="AN112" s="44"/>
      <c r="AO112" s="44" t="str">
        <f>IF(Check!S267=$AQ$4,AJ112,IF(Check!S267=$AQ$6,AK112,IF(OR(Check!S267=$AQ$5,AO111=""),AL112,"NB")))</f>
        <v>NB</v>
      </c>
      <c r="AP112" s="981"/>
      <c r="AQ112" s="44"/>
      <c r="AR112" s="44"/>
      <c r="AS112" s="146"/>
      <c r="AT112" s="41"/>
      <c r="AU112" s="41"/>
      <c r="AV112" s="442"/>
      <c r="AW112" s="44"/>
      <c r="AX112" s="41"/>
      <c r="AY112" s="42"/>
      <c r="AZ112" s="41"/>
      <c r="BA112" s="42"/>
      <c r="BB112" s="577"/>
      <c r="BC112" s="582"/>
      <c r="BD112" s="398"/>
      <c r="BE112" s="579"/>
      <c r="BF112" s="577"/>
      <c r="BG112" s="582"/>
      <c r="BH112" s="398"/>
      <c r="BI112" s="579"/>
      <c r="BJ112" s="138"/>
    </row>
    <row r="113" spans="1:62" ht="15" customHeight="1">
      <c r="A113" s="138"/>
      <c r="B113" s="642"/>
      <c r="C113" s="872" t="str">
        <f>IF(Tool!$H$7="Français",G113,IF(Tool!$H$7="Italiano",I113,E113))</f>
        <v>Wird die Umgebungsgestaltung beim Bauvorhaben so konzipiert, dass sie eine angemessene abkühlende Beschattung der Gebäudenutzenden anbietet?</v>
      </c>
      <c r="D113" s="642"/>
      <c r="E113" s="641" t="s">
        <v>434</v>
      </c>
      <c r="F113" s="642"/>
      <c r="G113" s="641" t="s">
        <v>1759</v>
      </c>
      <c r="H113" s="648"/>
      <c r="I113" s="648" t="s">
        <v>1768</v>
      </c>
      <c r="J113" s="642"/>
      <c r="K113" s="644"/>
      <c r="L113" s="645"/>
      <c r="M113" s="645"/>
      <c r="N113" s="645"/>
      <c r="O113" s="645"/>
      <c r="P113" s="646"/>
      <c r="Q113" s="642"/>
      <c r="R113" s="657"/>
      <c r="S113" s="645"/>
      <c r="T113" s="645"/>
      <c r="U113" s="645"/>
      <c r="V113" s="645"/>
      <c r="W113" s="646"/>
      <c r="X113" s="642"/>
      <c r="Y113" s="657"/>
      <c r="Z113" s="645"/>
      <c r="AA113" s="645"/>
      <c r="AB113" s="645"/>
      <c r="AC113" s="645"/>
      <c r="AD113" s="646"/>
      <c r="AE113" s="138"/>
      <c r="AF113" s="409"/>
      <c r="AG113" s="769"/>
      <c r="AH113" s="771"/>
      <c r="AI113" s="769"/>
      <c r="AJ113" s="43">
        <f>AJ111/3</f>
        <v>0.33333333333333331</v>
      </c>
      <c r="AK113" s="43">
        <f t="shared" ref="AK113:AK114" si="15">AJ113*0.3</f>
        <v>9.9999999999999992E-2</v>
      </c>
      <c r="AL113" s="43">
        <v>0</v>
      </c>
      <c r="AM113" s="44"/>
      <c r="AN113" s="44"/>
      <c r="AO113" s="44" t="str">
        <f>IF(Check!S270=$AQ$4,AJ113,IF(Check!S270=$AQ$6,AK113,IF(OR(Check!S270=$AQ$5,AO111=""),AL113,"NB")))</f>
        <v>NB</v>
      </c>
      <c r="AP113" s="981"/>
      <c r="AQ113" s="44"/>
      <c r="AR113" s="44"/>
      <c r="AS113" s="146"/>
      <c r="AT113" s="41"/>
      <c r="AU113" s="41"/>
      <c r="AV113" s="442"/>
      <c r="AW113" s="44"/>
      <c r="AX113" s="41"/>
      <c r="AY113" s="42"/>
      <c r="AZ113" s="41"/>
      <c r="BA113" s="42"/>
      <c r="BB113" s="577"/>
      <c r="BC113" s="582"/>
      <c r="BD113" s="398"/>
      <c r="BE113" s="579"/>
      <c r="BF113" s="577"/>
      <c r="BG113" s="582"/>
      <c r="BH113" s="398"/>
      <c r="BI113" s="579"/>
      <c r="BJ113" s="138"/>
    </row>
    <row r="114" spans="1:62" ht="15" customHeight="1">
      <c r="A114" s="138"/>
      <c r="B114" s="642"/>
      <c r="C114" s="872" t="str">
        <f>IF(Tool!$H$7="Français",G114,IF(Tool!$H$7="Italiano",I114,E114))</f>
        <v>Wird eine angemessene Infrastruktur zur Verfügung gestellt (z. B. Gartenmöblierung), welche die Nutzung von beschatteten Aussenanlagen fördert?</v>
      </c>
      <c r="D114" s="642"/>
      <c r="E114" s="641" t="s">
        <v>750</v>
      </c>
      <c r="F114" s="642"/>
      <c r="G114" s="641" t="s">
        <v>694</v>
      </c>
      <c r="H114" s="648"/>
      <c r="I114" s="648" t="s">
        <v>695</v>
      </c>
      <c r="J114" s="642"/>
      <c r="K114" s="644"/>
      <c r="L114" s="645"/>
      <c r="M114" s="645"/>
      <c r="N114" s="645"/>
      <c r="O114" s="645"/>
      <c r="P114" s="646"/>
      <c r="Q114" s="642"/>
      <c r="R114" s="657"/>
      <c r="S114" s="645"/>
      <c r="T114" s="645"/>
      <c r="U114" s="645"/>
      <c r="V114" s="645"/>
      <c r="W114" s="646"/>
      <c r="X114" s="642"/>
      <c r="Y114" s="657"/>
      <c r="Z114" s="645"/>
      <c r="AA114" s="645"/>
      <c r="AB114" s="645"/>
      <c r="AC114" s="645"/>
      <c r="AD114" s="646"/>
      <c r="AE114" s="138"/>
      <c r="AF114" s="335"/>
      <c r="AG114" s="340"/>
      <c r="AH114" s="766"/>
      <c r="AI114" s="340"/>
      <c r="AJ114" s="43">
        <f>AJ111/3</f>
        <v>0.33333333333333331</v>
      </c>
      <c r="AK114" s="43">
        <f t="shared" si="15"/>
        <v>9.9999999999999992E-2</v>
      </c>
      <c r="AL114" s="43">
        <v>0</v>
      </c>
      <c r="AM114" s="44"/>
      <c r="AN114" s="44"/>
      <c r="AO114" s="44" t="str">
        <f>IF(Check!S273=$AQ$4,AJ114,IF(Check!S273=$AQ$6,AK114,IF(OR(Check!S273=$AQ$5,AO111=""),AL114,"NB")))</f>
        <v>NB</v>
      </c>
      <c r="AP114" s="44"/>
      <c r="AQ114" s="44"/>
      <c r="AR114" s="44"/>
      <c r="AS114" s="41"/>
      <c r="AT114" s="41"/>
      <c r="AU114" s="41"/>
      <c r="AV114" s="442"/>
      <c r="AW114" s="44"/>
      <c r="AX114" s="41"/>
      <c r="AY114" s="42"/>
      <c r="AZ114" s="41"/>
      <c r="BA114" s="42"/>
      <c r="BB114" s="577"/>
      <c r="BC114" s="582"/>
      <c r="BD114" s="398"/>
      <c r="BE114" s="579"/>
      <c r="BF114" s="577"/>
      <c r="BG114" s="582"/>
      <c r="BH114" s="398"/>
      <c r="BI114" s="579"/>
      <c r="BJ114" s="138"/>
    </row>
    <row r="115" spans="1:62" ht="15" customHeight="1">
      <c r="A115" s="138"/>
      <c r="B115" s="498">
        <v>132</v>
      </c>
      <c r="C115" s="870" t="str">
        <f>IF(Tool!$H$7="Français",G115,IF(Tool!$H$7="Italiano",I115,E115))</f>
        <v>Wird beim Bauvorhaben das Sicherheitsgefühl der Nutzenden bewusst gestärkt, indem die Erschliessungs- und Verkehrsflächen im Gebäude, auf dem Grundstück sowie in der näheren Umgebung durch gezielte Beleuchtung und sicherheitsorientierte Wegführung übersichtlich bzw. benutzerfreundlich gestaltet sind?</v>
      </c>
      <c r="D115" s="498">
        <f>$B115</f>
        <v>132</v>
      </c>
      <c r="E115" s="936" t="s">
        <v>700</v>
      </c>
      <c r="F115" s="498">
        <f>$B115</f>
        <v>132</v>
      </c>
      <c r="G115" s="936" t="s">
        <v>1760</v>
      </c>
      <c r="H115" s="498">
        <f>$B115</f>
        <v>132</v>
      </c>
      <c r="I115" s="925" t="s">
        <v>1769</v>
      </c>
      <c r="J115" s="498">
        <f>$B115</f>
        <v>132</v>
      </c>
      <c r="K115" s="937"/>
      <c r="L115" s="938"/>
      <c r="M115" s="938"/>
      <c r="N115" s="938"/>
      <c r="O115" s="938"/>
      <c r="P115" s="939"/>
      <c r="Q115" s="498">
        <f>$B115</f>
        <v>132</v>
      </c>
      <c r="R115" s="945"/>
      <c r="S115" s="946"/>
      <c r="T115" s="946"/>
      <c r="U115" s="946"/>
      <c r="V115" s="946"/>
      <c r="W115" s="947"/>
      <c r="X115" s="498">
        <f>$B115</f>
        <v>132</v>
      </c>
      <c r="Y115" s="945"/>
      <c r="Z115" s="946"/>
      <c r="AA115" s="946"/>
      <c r="AB115" s="946"/>
      <c r="AC115" s="946"/>
      <c r="AD115" s="947"/>
      <c r="AE115" s="138"/>
      <c r="AF115" s="824">
        <f>AQ27</f>
        <v>122</v>
      </c>
      <c r="AG115" s="818" t="str">
        <f>AR27</f>
        <v>Hindernisfreies Bauen</v>
      </c>
      <c r="AH115" s="1019"/>
      <c r="AI115" s="1018"/>
      <c r="AJ115" s="519">
        <v>1</v>
      </c>
      <c r="AK115" s="519" t="s">
        <v>46</v>
      </c>
      <c r="AL115" s="520">
        <v>0</v>
      </c>
      <c r="AM115" s="1020"/>
      <c r="AN115" s="1020"/>
      <c r="AO115" s="1020" t="str">
        <f>IF(Check!S276=$AQ$4,AJ115,IF(OR(Check!S276=$AQ$6,Check!S276=$AQ$5),AL115,"NB"))</f>
        <v>NB</v>
      </c>
      <c r="AP115" s="1020"/>
      <c r="AQ115" s="1020" t="str">
        <f>IF(AP115=1,1,
IF(AO115=1,1,
IF(COUNTIF(AO116:AO118,"NB"),"NB",
IF(SUM(AO116:AO118)&gt;1,1,
IF(AND(SUM(AO116:AO118)&gt;=0,SUM(AO116:AO118)&lt;=1),SUM(AO116:AO118),"NB")))))</f>
        <v>NB</v>
      </c>
      <c r="AR115" s="1020"/>
      <c r="AS115" s="1021" t="str">
        <f>IF(AQ115="NB","NB",AQ115)</f>
        <v>NB</v>
      </c>
      <c r="AT115" s="1022"/>
      <c r="AU115" s="1022"/>
      <c r="AV115" s="1026"/>
      <c r="AW115" s="1020"/>
      <c r="AX115" s="1022"/>
      <c r="AY115" s="1027"/>
      <c r="AZ115" s="1022"/>
      <c r="BA115" s="1027"/>
      <c r="BB115" s="577" t="str">
        <f>IF($AS$115="NB","",
IF($AS$115&gt;=0.85,AF115&amp;" "&amp;AG115&amp;"; ",""))</f>
        <v/>
      </c>
      <c r="BC115" s="582" t="str">
        <f>IF($AS$115="NB","",
IF(AND($AS$115&gt;=0.65,$AS$115&lt;0.85),AF115&amp;" "&amp;AG115&amp;"; ",""))</f>
        <v/>
      </c>
      <c r="BD115" s="398" t="str">
        <f>IF($AS$115="NB","",
IF(AND($AS$115&gt;=0.5,$AS$115&lt;0.65),AF115&amp;" "&amp;AG115&amp;"; ",""))</f>
        <v/>
      </c>
      <c r="BE115" s="579" t="str">
        <f>IF($AS$115="NB","",
IF($AS$115&lt;0.5,AF115&amp;" "&amp;AG115&amp;"; ",""))</f>
        <v/>
      </c>
      <c r="BF115" s="577" t="str">
        <f>IF($AS$115="NB","",
IF($AS$115&gt;=0.85,AF115&amp;" ",""))</f>
        <v/>
      </c>
      <c r="BG115" s="582" t="str">
        <f>IF($AS$115="NB","",
IF(AND($AS$115&gt;=0.65,$AS$115&lt;0.85),AF115&amp;" ",""))</f>
        <v/>
      </c>
      <c r="BH115" s="398" t="str">
        <f>IF($AS$115="NB","",
IF(AND($AS$115&gt;=0.5,$AS$115&lt;0.65),AF115&amp;" ",""))</f>
        <v/>
      </c>
      <c r="BI115" s="579" t="str">
        <f>IF($AS$115="NB","",
IF($AS$115&lt;0.5,AF115&amp;" ",""))</f>
        <v/>
      </c>
      <c r="BJ115" s="138"/>
    </row>
    <row r="116" spans="1:62" ht="15" customHeight="1">
      <c r="A116" s="138"/>
      <c r="B116" s="498"/>
      <c r="C116" s="870" t="str">
        <f>IF(Tool!$H$7="Français",G116,IF(Tool!$H$7="Italiano",I116,E116))</f>
        <v>Sind die Wege zu den Nebenräumen im Gebäude (z. B. Keller, Waschküchen) und den Aussenspielbereichen für Kinder übersichtlich und sicher erreichbar?</v>
      </c>
      <c r="D116" s="498"/>
      <c r="E116" s="936" t="str">
        <f>IF(AG36=AG14,L116,IF(AG36=AG16,O116,"Sind die Wege zu den Nebenräumen im Gebäude (z. B. Lager, Keller, Waschküchen) sowie zu den Parkierungsanlagen für Velos und Autos kurz und übersichtlich?"))</f>
        <v>Sind die Wege zu den Nebenräumen im Gebäude (z. B. Keller, Waschküchen) und den Aussenspielbereichen für Kinder übersichtlich und sicher erreichbar?</v>
      </c>
      <c r="F116" s="498"/>
      <c r="G116" s="936" t="str">
        <f>IF(AG36=AG14,S116,IF(AG36=AG16,V116,"Le parcours vers les espaces secondaires du bâtiments (p. ex. dépôt, cave, buanderie) et vers les stationnements voiture et vélo est-il court et clair ?"))</f>
        <v>Le parcours vers les espaces secondaires (p. ex. cave, buanderie) et les places de jeux extérieurs sont-ils bien visibles et équipés d'un accès sûr ?</v>
      </c>
      <c r="H116" s="925"/>
      <c r="I116" s="925" t="str">
        <f>IF(AG36=AG14,Z116,IF(AG36=AG16,AC116,"I percorsi verso i locali di servizio dell'edificio (ad es. magazzini, cantine, lavanderie) e verso i parcheggi per auto e biciclette sono brevi e chiari?"))</f>
        <v>I percorsi per raggiungere i locali di servizio dell'edificio (ad es. cantina, lavanderia) e le aree di gioco esterne sono chiaramente identificabili e sicuri per i bambini?</v>
      </c>
      <c r="J116" s="498"/>
      <c r="K116" s="937"/>
      <c r="L116" s="938" t="s">
        <v>751</v>
      </c>
      <c r="M116" s="938"/>
      <c r="N116" s="938"/>
      <c r="O116" s="938" t="s">
        <v>297</v>
      </c>
      <c r="P116" s="939"/>
      <c r="Q116" s="498"/>
      <c r="R116" s="945"/>
      <c r="S116" s="946" t="s">
        <v>1762</v>
      </c>
      <c r="T116" s="946"/>
      <c r="U116" s="946"/>
      <c r="V116" s="946" t="s">
        <v>400</v>
      </c>
      <c r="W116" s="947"/>
      <c r="X116" s="498"/>
      <c r="Y116" s="945"/>
      <c r="Z116" s="946" t="s">
        <v>1771</v>
      </c>
      <c r="AA116" s="946"/>
      <c r="AB116" s="946"/>
      <c r="AC116" s="946" t="s">
        <v>701</v>
      </c>
      <c r="AD116" s="947"/>
      <c r="AE116" s="138" t="s">
        <v>28</v>
      </c>
      <c r="AF116" s="335"/>
      <c r="AG116" s="340"/>
      <c r="AH116" s="784"/>
      <c r="AI116" s="783"/>
      <c r="AJ116" s="43">
        <f>0.6</f>
        <v>0.6</v>
      </c>
      <c r="AK116" s="43">
        <f>AJ116*0.3</f>
        <v>0.18</v>
      </c>
      <c r="AL116" s="43">
        <v>0</v>
      </c>
      <c r="AM116" s="44"/>
      <c r="AN116" s="44"/>
      <c r="AO116" s="44" t="str">
        <f>IF(Check!S279=$AQ$4,AJ116,IF(Check!S279=$AQ$6,AK116,IF(OR(Check!S279=$AQ$5,AO115=""),AL116,"NB")))</f>
        <v>NB</v>
      </c>
      <c r="AP116" s="44"/>
      <c r="AQ116" s="44"/>
      <c r="AR116" s="1039"/>
      <c r="AS116" s="1040"/>
      <c r="AT116" s="41"/>
      <c r="AU116" s="41"/>
      <c r="AV116" s="442"/>
      <c r="AW116" s="44"/>
      <c r="AX116" s="41"/>
      <c r="AY116" s="42"/>
      <c r="AZ116" s="41"/>
      <c r="BA116" s="42"/>
      <c r="BB116" s="577"/>
      <c r="BC116" s="582"/>
      <c r="BD116" s="398"/>
      <c r="BE116" s="579"/>
      <c r="BF116" s="577"/>
      <c r="BG116" s="582"/>
      <c r="BH116" s="398"/>
      <c r="BI116" s="579"/>
      <c r="BJ116" s="138"/>
    </row>
    <row r="117" spans="1:62" ht="15" customHeight="1">
      <c r="A117" s="138"/>
      <c r="B117" s="498"/>
      <c r="C117" s="870" t="str">
        <f>IF(Tool!$H$7="Français",G117,IF(Tool!$H$7="Italiano",I117,E117))</f>
        <v>Besteht ein explizites Konzept zur künstlichen Beleuchtung der gemeinsam genutzten und öffentlich zugänglichen Bereiche?</v>
      </c>
      <c r="D117" s="498"/>
      <c r="E117" s="936" t="s">
        <v>702</v>
      </c>
      <c r="F117" s="498"/>
      <c r="G117" s="936" t="s">
        <v>1761</v>
      </c>
      <c r="H117" s="925"/>
      <c r="I117" s="925" t="s">
        <v>1770</v>
      </c>
      <c r="J117" s="498"/>
      <c r="K117" s="937"/>
      <c r="L117" s="938"/>
      <c r="M117" s="938"/>
      <c r="N117" s="938"/>
      <c r="O117" s="938"/>
      <c r="P117" s="939"/>
      <c r="Q117" s="498"/>
      <c r="R117" s="945"/>
      <c r="S117" s="946"/>
      <c r="T117" s="946"/>
      <c r="U117" s="946"/>
      <c r="V117" s="946"/>
      <c r="W117" s="947"/>
      <c r="X117" s="498"/>
      <c r="Y117" s="945"/>
      <c r="Z117" s="946"/>
      <c r="AA117" s="946"/>
      <c r="AB117" s="946"/>
      <c r="AC117" s="946"/>
      <c r="AD117" s="947"/>
      <c r="AE117" s="138"/>
      <c r="AF117" s="335"/>
      <c r="AG117" s="340"/>
      <c r="AH117" s="766"/>
      <c r="AI117" s="340"/>
      <c r="AJ117" s="43">
        <v>0.2</v>
      </c>
      <c r="AK117" s="43">
        <f t="shared" ref="AK117" si="16">AJ117*0.3</f>
        <v>0.06</v>
      </c>
      <c r="AL117" s="43">
        <v>0</v>
      </c>
      <c r="AM117" s="44"/>
      <c r="AN117" s="44"/>
      <c r="AO117" s="44" t="str">
        <f>IF(Check!S282=$AQ$4,AJ117,IF(Check!S282=$AQ$6,AK117,IF(OR(Check!S282=$AQ$5,AO115=""),AL117,"NB")))</f>
        <v>NB</v>
      </c>
      <c r="AP117" s="44"/>
      <c r="AQ117" s="44"/>
      <c r="AR117" s="1039"/>
      <c r="AS117" s="141"/>
      <c r="AT117" s="41"/>
      <c r="AU117" s="41"/>
      <c r="AV117" s="442"/>
      <c r="AW117" s="44"/>
      <c r="AX117" s="41"/>
      <c r="AY117" s="42"/>
      <c r="AZ117" s="41"/>
      <c r="BA117" s="42"/>
      <c r="BB117" s="577"/>
      <c r="BC117" s="582"/>
      <c r="BD117" s="398"/>
      <c r="BE117" s="579"/>
      <c r="BF117" s="577"/>
      <c r="BG117" s="582"/>
      <c r="BH117" s="398"/>
      <c r="BI117" s="579"/>
      <c r="BJ117" s="138"/>
    </row>
    <row r="118" spans="1:62" ht="15" customHeight="1">
      <c r="A118" s="138"/>
      <c r="B118" s="498"/>
      <c r="C118" s="870" t="str">
        <f>IF(Tool!$H$7="Français",G118,IF(Tool!$H$7="Italiano",I118,E118))</f>
        <v>Sind die massgeblichen Fusswege zu den nächsten ÖV-Haltestellen sicher? (Die Wege führen ausschliesslich über Trottoirs, Strassenübergänge sind beleuchtet und markiert)</v>
      </c>
      <c r="D118" s="498"/>
      <c r="E118" s="506" t="str">
        <f>IF(OR($AG$27=$AH$4,$AG$27=$AH$5),O118,"Sind die massgeblichen Fusswege zu den nächsten ÖV-Haltestellen sicher? (Die Wege führen ausschliesslich über Trottoirs, Strassenübergänge sind beleuchtet und markiert)")</f>
        <v>Sind die massgeblichen Fusswege zu den nächsten ÖV-Haltestellen sicher? (Die Wege führen ausschliesslich über Trottoirs, Strassenübergänge sind beleuchtet und markiert)</v>
      </c>
      <c r="F118" s="498"/>
      <c r="G118" s="506" t="str">
        <f>IF(OR($AG$27=$AH$4,$AG$27=$AH$5),V118,"Est-ce que les parcours à pied vers les arrêts de transports publics les plus proches sont sûrs ? (Les chemins passent exclusivement par des trottoirs, les passages piétons sont éclairés et marqués)")</f>
        <v>Est-ce que les parcours à pied vers les arrêts de transports publics les plus proches sont sûrs ? (Les chemins passent exclusivement par des trottoirs, les passages piétons sont éclairés et marqués)</v>
      </c>
      <c r="H118" s="500"/>
      <c r="I118" s="500" t="str">
        <f>IF(OR($AG$27=$AH$4,$AG$27=$AH$5),AC118,"I principali percorsi pedonali per raggiungere le fermate del trasporto pubblico più vicine sono sicuri? (I percorsi sono esclusivamente su marciapiedi, gli attraversamenti stradali sono illuminati e segnalati)")</f>
        <v>I principali percorsi pedonali per raggiungere le fermate del trasporto pubblico più vicine sono sicuri? (I percorsi sono esclusivamente su marciapiedi, gli attraversamenti stradali sono illuminati e segnalati)</v>
      </c>
      <c r="J118" s="498"/>
      <c r="K118" s="501"/>
      <c r="L118" s="502"/>
      <c r="M118" s="502"/>
      <c r="N118" s="502"/>
      <c r="O118" s="502" t="s">
        <v>348</v>
      </c>
      <c r="P118" s="503"/>
      <c r="Q118" s="498"/>
      <c r="R118" s="509"/>
      <c r="S118" s="502"/>
      <c r="T118" s="502"/>
      <c r="U118" s="502"/>
      <c r="V118" s="502" t="s">
        <v>704</v>
      </c>
      <c r="W118" s="503"/>
      <c r="X118" s="498"/>
      <c r="Y118" s="509"/>
      <c r="Z118" s="502"/>
      <c r="AA118" s="502"/>
      <c r="AB118" s="502"/>
      <c r="AC118" s="502" t="s">
        <v>703</v>
      </c>
      <c r="AD118" s="503"/>
      <c r="AE118" s="138" t="s">
        <v>28</v>
      </c>
      <c r="AF118" s="335"/>
      <c r="AG118" s="340"/>
      <c r="AH118" s="766"/>
      <c r="AI118" s="340"/>
      <c r="AJ118" s="43">
        <v>0.2</v>
      </c>
      <c r="AK118" s="43">
        <f>AJ118*0.3</f>
        <v>0.06</v>
      </c>
      <c r="AL118" s="43">
        <v>0</v>
      </c>
      <c r="AM118" s="44">
        <f>AJ118*0.3</f>
        <v>0.06</v>
      </c>
      <c r="AN118" s="44"/>
      <c r="AO118" s="44" t="str">
        <f>IF(Check!S285=$AQ$4,AJ118,IF(OR(Check!S285=$AU$6,Check!S285=$AQ$6),AK118,IF(OR(Check!S285=$AQ$5,AO115=""),AL118,"NB")))</f>
        <v>NB</v>
      </c>
      <c r="AP118" s="44"/>
      <c r="AQ118" s="44"/>
      <c r="AR118" s="1039"/>
      <c r="AS118" s="141"/>
      <c r="AT118" s="41"/>
      <c r="AU118" s="41"/>
      <c r="AV118" s="442"/>
      <c r="AW118" s="44"/>
      <c r="AX118" s="41"/>
      <c r="AY118" s="42"/>
      <c r="AZ118" s="41"/>
      <c r="BA118" s="42"/>
      <c r="BB118" s="577"/>
      <c r="BC118" s="582"/>
      <c r="BD118" s="398"/>
      <c r="BE118" s="579"/>
      <c r="BF118" s="577"/>
      <c r="BG118" s="582"/>
      <c r="BH118" s="398"/>
      <c r="BI118" s="579"/>
      <c r="BJ118" s="138"/>
    </row>
    <row r="119" spans="1:62" ht="15" customHeight="1">
      <c r="A119" s="138"/>
      <c r="B119" s="508"/>
      <c r="C119" s="866" t="str">
        <f>IF(Tool!$H$7="Français",G119,IF(Tool!$H$7="Italiano",I119,E119))</f>
        <v>Wohlbefinden und Gesundheit</v>
      </c>
      <c r="D119" s="508"/>
      <c r="E119" s="505" t="s">
        <v>19</v>
      </c>
      <c r="F119" s="508"/>
      <c r="G119" s="497" t="s">
        <v>40</v>
      </c>
      <c r="H119" s="497"/>
      <c r="I119" s="497" t="s">
        <v>705</v>
      </c>
      <c r="J119" s="508"/>
      <c r="K119" s="886" t="str">
        <f>E119</f>
        <v>Wohlbefinden und Gesundheit</v>
      </c>
      <c r="L119" s="887"/>
      <c r="M119" s="887"/>
      <c r="N119" s="887"/>
      <c r="O119" s="887"/>
      <c r="P119" s="888"/>
      <c r="Q119" s="508"/>
      <c r="R119" s="943" t="str">
        <f>G119</f>
        <v>Bien-être et santé</v>
      </c>
      <c r="S119" s="848"/>
      <c r="T119" s="848"/>
      <c r="U119" s="848"/>
      <c r="V119" s="848"/>
      <c r="W119" s="849"/>
      <c r="X119" s="508"/>
      <c r="Y119" s="2078" t="s">
        <v>676</v>
      </c>
      <c r="Z119" s="2079"/>
      <c r="AA119" s="2079"/>
      <c r="AB119" s="2079"/>
      <c r="AC119" s="2079"/>
      <c r="AD119" s="2080"/>
      <c r="AE119" s="138"/>
      <c r="AF119" s="1006" t="str">
        <f>AT$29</f>
        <v>K122</v>
      </c>
      <c r="AG119" s="1003" t="str">
        <f>AU29</f>
        <v>Bauen mit Abkühlungshilfen</v>
      </c>
      <c r="AH119" s="1007"/>
      <c r="AI119" s="1003"/>
      <c r="AJ119" s="1008">
        <v>1</v>
      </c>
      <c r="AK119" s="1008" t="s">
        <v>46</v>
      </c>
      <c r="AL119" s="1008">
        <v>0</v>
      </c>
      <c r="AM119" s="1012"/>
      <c r="AN119" s="1012"/>
      <c r="AO119" s="1023" t="str">
        <f>IF(Check!S288=$AQ$4,AJ119,IF(OR(Check!S288=$AQ$6,Check!S288=$AQ$5,Check!S288=$AU$6),AL119,"NB"))</f>
        <v>NB</v>
      </c>
      <c r="AP119" s="1012"/>
      <c r="AQ119" s="1012"/>
      <c r="AR119" s="1012"/>
      <c r="AS119" s="1012"/>
      <c r="AT119" s="1012"/>
      <c r="AU119" s="1012"/>
      <c r="AV119" s="1009" t="str">
        <f>IF(AP119=1,1,
IF(AO119=1,1,
IF(COUNTIF(AO120:AO122,"NB"),"NB",
IF(SUM(AO120:AO122)&gt;1,1,
IF(AND(SUM(AO120:AO122)&gt;=0,SUM(AO120:AO122)&lt;=1),SUM(AO120:AO122),"NB")))))</f>
        <v>NB</v>
      </c>
      <c r="AW119" s="655" t="str">
        <f>IF(AV119="NB","NB",AV119)</f>
        <v>NB</v>
      </c>
      <c r="AX119" s="1012"/>
      <c r="AY119" s="1035"/>
      <c r="AZ119" s="1488" t="str">
        <f>AW119</f>
        <v>NB</v>
      </c>
      <c r="BA119" s="1035"/>
      <c r="BB119" s="577" t="str">
        <f>IF($AW$119="NB","",
IF($AW$119&gt;=0.85,AF119&amp;" "&amp;AG119&amp;"; ",""))</f>
        <v/>
      </c>
      <c r="BC119" s="582" t="str">
        <f>IF($AW$119="NB","",
IF(AND($AW$119&gt;=0.65,$AW$119&lt;0.85),AF119&amp;" "&amp;AG119&amp;"; ",""))</f>
        <v/>
      </c>
      <c r="BD119" s="398" t="str">
        <f>IF($AW$119="NB","",
IF(AND($AW$119&gt;=0.5,$AW$119&lt;0.65),AF119&amp;" "&amp;AG119&amp;"; ",""))</f>
        <v/>
      </c>
      <c r="BE119" s="579" t="str">
        <f>IF($AW$119="NB","",
IF($AW$119&lt;0.5,AF119&amp;" "&amp;AG119&amp;"; ",""))</f>
        <v/>
      </c>
      <c r="BF119" s="577" t="str">
        <f>IF($AW$119="NB","",
IF($AW$119&gt;=0.85,AF119&amp;" ",""))</f>
        <v/>
      </c>
      <c r="BG119" s="582" t="str">
        <f>IF($AW$119="NB","",
IF(AND($AW$119&gt;=0.65,$AW$119&lt;0.85),AF119&amp;" ",""))</f>
        <v/>
      </c>
      <c r="BH119" s="398" t="str">
        <f>IF($AW$119="NB","",
IF(AND($AW$119&gt;=0.5,$AW$119&lt;0.65),AF119&amp;" ",""))</f>
        <v/>
      </c>
      <c r="BI119" s="579" t="str">
        <f>IF($AW$119="NB","",
IF($AW$119&lt;0.5,AF119&amp;" ",""))</f>
        <v/>
      </c>
      <c r="BJ119" s="138"/>
    </row>
    <row r="120" spans="1:62" ht="15" customHeight="1">
      <c r="A120" s="138"/>
      <c r="B120" s="498">
        <v>141</v>
      </c>
      <c r="C120" s="870" t="str">
        <f>IF(Tool!$H$7="Français",G120,IF(Tool!$H$7="Italiano",I120,E120))</f>
        <v>Kann das Lüftungskonzept eine sehr gute Raumluftqualität garantieren, so dass unter Einhaltung der SIA180:2014 stets ein niedriger CO2-Gehalt, Feuchteregelung und hervorragende Zuluftqualität garantiert sind?</v>
      </c>
      <c r="D120" s="498">
        <f>$B120</f>
        <v>141</v>
      </c>
      <c r="E120" s="506" t="str">
        <f>IF(AG$31=AL$4,P120,O120)</f>
        <v>Kann das Lüftungskonzept eine sehr gute Raumluftqualität garantieren, so dass unter Einhaltung der SIA180:2014 stets ein niedriger CO2-Gehalt, Feuchteregelung und hervorragende Zuluftqualität garantiert sind?</v>
      </c>
      <c r="F120" s="498">
        <f>$B120</f>
        <v>141</v>
      </c>
      <c r="G120" s="506" t="str">
        <f>IF(AI$31=AN$4,W120,V120)</f>
        <v>Est-ce que le concept de ventilation peut garantir une très bonne qualité de l'air intérieur, de sorte que, dans le respect de la norme SIA180:2014, une faible teneur en CO2, un contrôle de l'humidité et une excellente qualité de l'air entrant soient toujours garantis ?</v>
      </c>
      <c r="H120" s="498">
        <f>$B120</f>
        <v>141</v>
      </c>
      <c r="I120" s="925" t="str">
        <f>IF(AI$31=AN$4,AD120,AC120)</f>
        <v>Il concetto di ventilazione può garantire un'ottima qualità dell'aria interna, in modo da garantire sempre un basso contenuto di CO2, il controllo dell'umidità e un'eccellente qualità dell'aria di mandata, in conformità alla norma SIA180:2014?</v>
      </c>
      <c r="J120" s="498">
        <f>$B120</f>
        <v>141</v>
      </c>
      <c r="K120" s="501"/>
      <c r="L120" s="502"/>
      <c r="M120" s="502"/>
      <c r="N120" s="502"/>
      <c r="O120" s="502" t="s">
        <v>706</v>
      </c>
      <c r="P120" s="503" t="s">
        <v>709</v>
      </c>
      <c r="Q120" s="498">
        <f>$B120</f>
        <v>141</v>
      </c>
      <c r="R120" s="509"/>
      <c r="S120" s="510"/>
      <c r="T120" s="510"/>
      <c r="U120" s="510"/>
      <c r="V120" s="510" t="s">
        <v>707</v>
      </c>
      <c r="W120" s="499" t="s">
        <v>711</v>
      </c>
      <c r="X120" s="498">
        <f>$B120</f>
        <v>141</v>
      </c>
      <c r="Y120" s="509"/>
      <c r="Z120" s="510"/>
      <c r="AA120" s="510"/>
      <c r="AB120" s="510"/>
      <c r="AC120" s="510" t="s">
        <v>708</v>
      </c>
      <c r="AD120" s="499" t="s">
        <v>710</v>
      </c>
      <c r="AE120" s="138"/>
      <c r="AF120" s="409"/>
      <c r="AG120" s="769"/>
      <c r="AH120" s="771"/>
      <c r="AI120" s="769"/>
      <c r="AJ120" s="43">
        <f>AJ119/3</f>
        <v>0.33333333333333331</v>
      </c>
      <c r="AK120" s="43">
        <f>AJ120*0.3</f>
        <v>9.9999999999999992E-2</v>
      </c>
      <c r="AL120" s="43">
        <v>0</v>
      </c>
      <c r="AM120" s="44"/>
      <c r="AN120" s="44"/>
      <c r="AO120" s="44" t="str">
        <f>IF(Check!S291=$AQ$4,AJ120,IF(Check!S291=$AQ$6,AK120,IF(OR(Check!S291=$AQ$5,AO119=""),AL120,"NB")))</f>
        <v>NB</v>
      </c>
      <c r="AP120" s="981"/>
      <c r="AQ120" s="44"/>
      <c r="AR120" s="44"/>
      <c r="AS120" s="146"/>
      <c r="AT120" s="41"/>
      <c r="AU120" s="41"/>
      <c r="AV120" s="442"/>
      <c r="AW120" s="44"/>
      <c r="AX120" s="41"/>
      <c r="AY120" s="42"/>
      <c r="AZ120" s="41"/>
      <c r="BA120" s="42"/>
      <c r="BB120" s="577"/>
      <c r="BC120" s="582"/>
      <c r="BD120" s="398"/>
      <c r="BE120" s="579"/>
      <c r="BF120" s="577"/>
      <c r="BG120" s="582"/>
      <c r="BH120" s="398"/>
      <c r="BI120" s="579"/>
      <c r="BJ120" s="138"/>
    </row>
    <row r="121" spans="1:62" ht="15" customHeight="1">
      <c r="A121" s="138"/>
      <c r="B121" s="498"/>
      <c r="C121" s="870" t="str">
        <f>IF(Tool!$H$7="Français",G121,IF(Tool!$H$7="Italiano",I121,E121))</f>
        <v>Verfügt das Gebäude über Sollwert-gesteuerte Abluftanlagen und geeignete Nachströmvorrichtungen?</v>
      </c>
      <c r="D121" s="498"/>
      <c r="E121" s="506" t="str">
        <f>IF(AG$31=AL$4,P121,"Verfügt das Gebäude über Sollwert-gesteuerte Abluftanlagen und geeignete Nachströmvorrichtungen?")</f>
        <v>Verfügt das Gebäude über Sollwert-gesteuerte Abluftanlagen und geeignete Nachströmvorrichtungen?</v>
      </c>
      <c r="F121" s="498"/>
      <c r="G121" s="506" t="str">
        <f>IF(AG$31=AL$4,W121,"Existe-t-il dans le bâtiment des systèmes d'extraction d'air regulés par des points de consigne et des dispositifs de reprise d'air appropriés ?")</f>
        <v>Existe-t-il dans le bâtiment des systèmes d'extraction d'air regulés par des points de consigne et des dispositifs de reprise d'air appropriés ?</v>
      </c>
      <c r="H121" s="500"/>
      <c r="I121" s="500" t="str">
        <f>IF(AI$31=AN$4,AD121,"L'edificio è dotato di sistemi di scarico dell'aria controllati dal setpoint e di adeguati dispositivi a valle?")</f>
        <v>L'edificio è dotato di sistemi di scarico dell'aria controllati dal setpoint e di adeguati dispositivi a valle?</v>
      </c>
      <c r="J121" s="498"/>
      <c r="K121" s="501"/>
      <c r="L121" s="502"/>
      <c r="M121" s="502"/>
      <c r="N121" s="502"/>
      <c r="O121" s="502"/>
      <c r="P121" s="503" t="s">
        <v>712</v>
      </c>
      <c r="Q121" s="498"/>
      <c r="R121" s="509"/>
      <c r="S121" s="510"/>
      <c r="T121" s="510"/>
      <c r="U121" s="510"/>
      <c r="V121" s="510"/>
      <c r="W121" s="499" t="s">
        <v>713</v>
      </c>
      <c r="X121" s="498"/>
      <c r="Y121" s="509"/>
      <c r="Z121" s="510"/>
      <c r="AA121" s="510"/>
      <c r="AB121" s="510"/>
      <c r="AC121" s="510"/>
      <c r="AD121" s="499" t="s">
        <v>714</v>
      </c>
      <c r="AE121" s="138"/>
      <c r="AF121" s="409"/>
      <c r="AG121" s="769"/>
      <c r="AH121" s="771"/>
      <c r="AI121" s="769"/>
      <c r="AJ121" s="43">
        <f>AJ119/3</f>
        <v>0.33333333333333331</v>
      </c>
      <c r="AK121" s="43">
        <f t="shared" ref="AK121:AK122" si="17">AJ121*0.3</f>
        <v>9.9999999999999992E-2</v>
      </c>
      <c r="AL121" s="43">
        <v>0</v>
      </c>
      <c r="AM121" s="44"/>
      <c r="AN121" s="44"/>
      <c r="AO121" s="44" t="str">
        <f>IF(Check!S294=$AQ$4,AJ121,IF(Check!S294=$AQ$6,AK121,IF(OR(Check!S294=$AQ$5,AO119=""),AL121,"NB")))</f>
        <v>NB</v>
      </c>
      <c r="AP121" s="981"/>
      <c r="AQ121" s="44"/>
      <c r="AR121" s="44"/>
      <c r="AS121" s="146"/>
      <c r="AT121" s="41"/>
      <c r="AU121" s="41"/>
      <c r="AV121" s="442"/>
      <c r="AW121" s="44"/>
      <c r="AX121" s="41"/>
      <c r="AY121" s="42"/>
      <c r="AZ121" s="41"/>
      <c r="BA121" s="42"/>
      <c r="BB121" s="577"/>
      <c r="BC121" s="582"/>
      <c r="BD121" s="398"/>
      <c r="BE121" s="579"/>
      <c r="BF121" s="577"/>
      <c r="BG121" s="582"/>
      <c r="BH121" s="398"/>
      <c r="BI121" s="579"/>
      <c r="BJ121" s="138"/>
    </row>
    <row r="122" spans="1:62" ht="15" customHeight="1">
      <c r="A122" s="138"/>
      <c r="B122" s="498"/>
      <c r="C122" s="870" t="str">
        <f>IF(Tool!$H$7="Français",G122,IF(Tool!$H$7="Italiano",I122,E122))</f>
        <v>Besteht ein Lüftungskonzept mit geeigneten Lüftungsöffnungen und ist dieses automatisiert oder ist das Konzept in einer Nutzervereinbarung verankert?</v>
      </c>
      <c r="D122" s="498"/>
      <c r="E122" s="506" t="str">
        <f>IF(AG$31=AL$4,P122,"Besteht ein Lüftungskonzept mit geeigneten Lüftungsöffnungen und ist dieses automatisiert oder ist das Konzept in einer Nutzervereinbarung verankert?")</f>
        <v>Besteht ein Lüftungskonzept mit geeigneten Lüftungsöffnungen und ist dieses automatisiert oder ist das Konzept in einer Nutzervereinbarung verankert?</v>
      </c>
      <c r="F122" s="498"/>
      <c r="G122" s="506" t="str">
        <f>IF(AG$31=AL$4,W122,"Existe-t-il un concept de ventilation avec des ouvertures d'aération appropriées et celui-ci est-il automatisé ou le concept est-il ancré dans un accord avec les utilisateurs ?")</f>
        <v>Existe-t-il un concept de ventilation avec des ouvertures d'aération appropriées et celui-ci est-il automatisé ou le concept est-il ancré dans un accord avec les utilisateurs ?</v>
      </c>
      <c r="H122" s="500"/>
      <c r="I122" s="500" t="str">
        <f>IF(AI$31=AN$4,AD122,"Esiste un piano di ventilazione con aperture di ventilazione adeguate e questo è automatizzato o il concetto è ancorato in un accordo con l'utente?")</f>
        <v>Esiste un piano di ventilazione con aperture di ventilazione adeguate e questo è automatizzato o il concetto è ancorato in un accordo con l'utente?</v>
      </c>
      <c r="J122" s="498"/>
      <c r="K122" s="501"/>
      <c r="L122" s="502"/>
      <c r="M122" s="502"/>
      <c r="N122" s="502"/>
      <c r="O122" s="502"/>
      <c r="P122" s="503" t="s">
        <v>715</v>
      </c>
      <c r="Q122" s="498"/>
      <c r="R122" s="509"/>
      <c r="S122" s="510"/>
      <c r="T122" s="510"/>
      <c r="U122" s="510"/>
      <c r="V122" s="510"/>
      <c r="W122" s="499" t="s">
        <v>716</v>
      </c>
      <c r="X122" s="498"/>
      <c r="Y122" s="509"/>
      <c r="Z122" s="510"/>
      <c r="AA122" s="510"/>
      <c r="AB122" s="510"/>
      <c r="AC122" s="510"/>
      <c r="AD122" s="499" t="s">
        <v>717</v>
      </c>
      <c r="AE122" s="138"/>
      <c r="AF122" s="336"/>
      <c r="AG122" s="376"/>
      <c r="AH122" s="767"/>
      <c r="AI122" s="376"/>
      <c r="AJ122" s="406">
        <f>AJ119/3</f>
        <v>0.33333333333333331</v>
      </c>
      <c r="AK122" s="406">
        <f t="shared" si="17"/>
        <v>9.9999999999999992E-2</v>
      </c>
      <c r="AL122" s="406">
        <v>0</v>
      </c>
      <c r="AM122" s="39"/>
      <c r="AN122" s="39"/>
      <c r="AO122" s="39" t="str">
        <f>IF(Check!S297=$AQ$4,AJ122,IF(Check!S297=$AQ$6,AK122,IF(OR(Check!S297=$AQ$5,AO119=""),AL122,"NB")))</f>
        <v>NB</v>
      </c>
      <c r="AP122" s="39"/>
      <c r="AQ122" s="39"/>
      <c r="AR122" s="39"/>
      <c r="AS122" s="40"/>
      <c r="AT122" s="40"/>
      <c r="AU122" s="40"/>
      <c r="AV122" s="443"/>
      <c r="AW122" s="39"/>
      <c r="AX122" s="40"/>
      <c r="AY122" s="45"/>
      <c r="AZ122" s="40"/>
      <c r="BA122" s="45"/>
      <c r="BB122" s="703"/>
      <c r="BC122" s="583"/>
      <c r="BD122" s="408"/>
      <c r="BE122" s="580"/>
      <c r="BF122" s="703"/>
      <c r="BG122" s="583"/>
      <c r="BH122" s="408"/>
      <c r="BI122" s="580"/>
      <c r="BJ122" s="138"/>
    </row>
    <row r="123" spans="1:62" ht="15" customHeight="1">
      <c r="A123" s="138"/>
      <c r="B123" s="498"/>
      <c r="C123" s="870" t="str">
        <f>IF(Tool!$H$7="Français",G123,IF(Tool!$H$7="Italiano",I123,E123))</f>
        <v>Verfügt das Gebäude über feuchteregulierende Materialien in den Hauptnutzräumen (z. B. Lehmputz oder Lehmplatten)?</v>
      </c>
      <c r="D123" s="498"/>
      <c r="E123" s="506" t="str">
        <f>IF(AG$31=AL$4,P123,"Verfügt das Gebäude über feuchteregulierende Materialien in den Hauptnutzräumen (z. B. Lehmputz oder Lehmplatten)?")</f>
        <v>Verfügt das Gebäude über feuchteregulierende Materialien in den Hauptnutzräumen (z. B. Lehmputz oder Lehmplatten)?</v>
      </c>
      <c r="F123" s="498"/>
      <c r="G123" s="506" t="str">
        <f>IF(AG$31=AL$4,W123,"Est-ce que le bâtiment dispose de matériaux de régulation de l'humidité dans les pièces principales d'utilisation (par ex. enduit d'argile ou panneaux d'argile) ? ")</f>
        <v xml:space="preserve">Est-ce que le bâtiment dispose de matériaux de régulation de l'humidité dans les pièces principales d'utilisation (par ex. enduit d'argile ou panneaux d'argile) ? </v>
      </c>
      <c r="H123" s="500"/>
      <c r="I123" s="500" t="str">
        <f>IF(AI$31=AN$4,AD123,"L'edificio dispone di materiali che regolano l'umidità nei locali di servizio principali (ad esempio, intonaco di argilla o pannelli di argilla)? ")</f>
        <v xml:space="preserve">L'edificio dispone di materiali che regolano l'umidità nei locali di servizio principali (ad esempio, intonaco di argilla o pannelli di argilla)? </v>
      </c>
      <c r="J123" s="498"/>
      <c r="K123" s="501"/>
      <c r="L123" s="502"/>
      <c r="M123" s="502"/>
      <c r="N123" s="502"/>
      <c r="O123" s="502"/>
      <c r="P123" s="503" t="s">
        <v>718</v>
      </c>
      <c r="Q123" s="498"/>
      <c r="R123" s="509"/>
      <c r="S123" s="510"/>
      <c r="T123" s="510"/>
      <c r="U123" s="510"/>
      <c r="V123" s="510"/>
      <c r="W123" s="499" t="s">
        <v>719</v>
      </c>
      <c r="X123" s="498"/>
      <c r="Y123" s="509"/>
      <c r="Z123" s="510"/>
      <c r="AA123" s="510"/>
      <c r="AB123" s="510"/>
      <c r="AC123" s="510"/>
      <c r="AD123" s="499" t="s">
        <v>720</v>
      </c>
      <c r="AE123" s="138"/>
      <c r="AF123" s="1004">
        <f>AQ28</f>
        <v>131</v>
      </c>
      <c r="AG123" s="1005" t="str">
        <f>AR28</f>
        <v>Räume sozialer Interaktion</v>
      </c>
      <c r="AH123" s="1014"/>
      <c r="AI123" s="1015"/>
      <c r="AJ123" s="521">
        <v>1</v>
      </c>
      <c r="AK123" s="521" t="s">
        <v>46</v>
      </c>
      <c r="AL123" s="522">
        <v>0</v>
      </c>
      <c r="AM123" s="516"/>
      <c r="AN123" s="516"/>
      <c r="AO123" s="1020" t="str">
        <f>IF(Check!S307=$AQ$4,AJ123,IF(OR(Check!S307=$AQ$6,Check!S307=$AQ$5,Check!S307=$AT$5,Check!S307=$AT$6),AL123,"NB"))</f>
        <v>NB</v>
      </c>
      <c r="AP123" s="1013"/>
      <c r="AQ123" s="516" t="str">
        <f>IF(AP123=1,1,
IF(AO123=1,1,
IF(COUNTIF(AO124:AO127,"NB"),"NB",
IF(SUM(AO124:AO127)&gt;1,1,
IF(AND(SUM(AO124:AO127)&gt;=0,SUM(AO124:AO127)&lt;=1),SUM(AO124:AO127),"NB")))))</f>
        <v>NB</v>
      </c>
      <c r="AR123" s="516"/>
      <c r="AS123" s="517" t="str">
        <f>IF(AQ123="NB","NB",AQ123)</f>
        <v>NB</v>
      </c>
      <c r="AT123" s="517" t="str">
        <f>IF(AND(AS123="NB",AS133="NB"),"NB",SUM(AS123:AS136)/2)</f>
        <v>NB</v>
      </c>
      <c r="AU123" s="517"/>
      <c r="AV123" s="1045"/>
      <c r="AW123" s="1484" t="str">
        <f>AS123</f>
        <v>NB</v>
      </c>
      <c r="AX123" s="1046" t="str">
        <f>IF(AND(AW123="NB",AW128="NB"),"NB",SUM(AW123:AW136)/2)</f>
        <v>NB</v>
      </c>
      <c r="AY123" s="1047"/>
      <c r="AZ123" s="1021" t="str">
        <f>AW123</f>
        <v>NB</v>
      </c>
      <c r="BA123" s="1539"/>
      <c r="BB123" s="702" t="str">
        <f>IF($AS$123="NB","",
IF($AS$123&gt;=0.85,AF123&amp;" "&amp;AG123&amp;"; ",""))</f>
        <v/>
      </c>
      <c r="BC123" s="581" t="str">
        <f>IF($AS$123="NB","",
IF(AND($AS$123&gt;=0.65,$AS$123&lt;0.85),AF123&amp;" "&amp;AG123&amp;"; ",""))</f>
        <v/>
      </c>
      <c r="BD123" s="407" t="str">
        <f>IF($AS$123="NB","",
IF(AND($AS$123&gt;=0.5,$AS$123&lt;0.65),AF123&amp;" "&amp;AG123&amp;"; ",""))</f>
        <v/>
      </c>
      <c r="BE123" s="578" t="str">
        <f>IF($AS$123="NB","",
IF($AS$123&lt;0.5,AF123&amp;" "&amp;AG123&amp;"; ",""))</f>
        <v/>
      </c>
      <c r="BF123" s="702" t="str">
        <f>IF($AS$123="NB","",
IF($AS$123&gt;=0.85,AF123&amp;" ",""))</f>
        <v/>
      </c>
      <c r="BG123" s="581" t="str">
        <f>IF($AS$123="NB","",
IF(AND($AS$123&gt;=0.65,$AS$123&lt;0.85),AF123&amp;" ",""))</f>
        <v/>
      </c>
      <c r="BH123" s="407" t="str">
        <f>IF($AS$123="NB","",
IF(AND($AS$123&gt;=0.5,$AS$123&lt;0.65),AF123&amp;" ",""))</f>
        <v/>
      </c>
      <c r="BI123" s="578" t="str">
        <f>IF($AS$123="NB","",
IF($AS$123&lt;0.5,AF123&amp;" ",""))</f>
        <v/>
      </c>
      <c r="BJ123" s="138"/>
    </row>
    <row r="124" spans="1:62" ht="15" customHeight="1">
      <c r="A124" s="138"/>
      <c r="B124" s="498"/>
      <c r="C124" s="870" t="str">
        <f>IF(Tool!$H$7="Français",G124,IF(Tool!$H$7="Italiano",I124,E124))</f>
        <v>Wird der korrekte Betrieb und die Instandhaltung der vorhandenen Filter, Nachströmelemente und Abluftanlagen in einem Betriebs- und Wartungsvertrag geregelt? («Ja» wenn keine Filter u. Nachstömelemente vorhanden sind und keine Abluftanlage benötigt wird)</v>
      </c>
      <c r="D124" s="498"/>
      <c r="E124" s="506" t="str">
        <f>IF(AG$31=AL$4,P124,O124)</f>
        <v>Wird der korrekte Betrieb und die Instandhaltung der vorhandenen Filter, Nachströmelemente und Abluftanlagen in einem Betriebs- und Wartungsvertrag geregelt? («Ja» wenn keine Filter u. Nachstömelemente vorhanden sind und keine Abluftanlage benötigt wird)</v>
      </c>
      <c r="F124" s="498"/>
      <c r="G124" s="506" t="str">
        <f>IF(AI$31=AN$4,W124,V124)</f>
        <v>Est-ce que le fonctionnement et l'entretien corrects des filtres, des éléments de post-traitement et des systèmes d'extraction d'air existants sont régis par un contrat d'exploitation et de maintenance ? (« Oui » s'il n'y a pas de filtres et d'éléments de post-traitement et si aucune installation d'évacuation d'air n'est nécessaire)</v>
      </c>
      <c r="H124" s="500"/>
      <c r="I124" s="925" t="str">
        <f>IF(AI$31=AN$4,AD124,AC124)</f>
        <v>Il corretto funzionamento e la manutenzione dei filtri, degli elementi a valle e dei sistemi di aria di scarico esistenti sono regolati da un contratto di gestione e manutenzione? (“Sì” se non sono presenti filtri ed elementi di flusso secondari e non è richiesto un sistema di aria di scarico)</v>
      </c>
      <c r="J124" s="498"/>
      <c r="K124" s="501"/>
      <c r="L124" s="502"/>
      <c r="M124" s="502"/>
      <c r="N124" s="502"/>
      <c r="O124" s="502" t="s">
        <v>722</v>
      </c>
      <c r="P124" s="503" t="s">
        <v>725</v>
      </c>
      <c r="Q124" s="498"/>
      <c r="R124" s="509"/>
      <c r="S124" s="510"/>
      <c r="T124" s="510"/>
      <c r="U124" s="510"/>
      <c r="V124" s="510" t="s">
        <v>723</v>
      </c>
      <c r="W124" s="499" t="s">
        <v>724</v>
      </c>
      <c r="X124" s="498"/>
      <c r="Y124" s="509"/>
      <c r="Z124" s="510"/>
      <c r="AA124" s="510"/>
      <c r="AB124" s="510"/>
      <c r="AC124" s="510" t="s">
        <v>721</v>
      </c>
      <c r="AD124" s="499" t="s">
        <v>726</v>
      </c>
      <c r="AE124" s="138"/>
      <c r="AF124" s="335"/>
      <c r="AG124" s="340"/>
      <c r="AH124" s="766"/>
      <c r="AI124" s="340"/>
      <c r="AJ124" s="43">
        <f>1/4</f>
        <v>0.25</v>
      </c>
      <c r="AK124" s="43">
        <f>AJ124*0.3</f>
        <v>7.4999999999999997E-2</v>
      </c>
      <c r="AL124" s="43">
        <v>0</v>
      </c>
      <c r="AM124" s="44"/>
      <c r="AN124" s="44"/>
      <c r="AO124" s="44" t="str">
        <f>IF(Check!S310=$AQ$4,AJ124,IF(Check!S310=$AQ$6,AK124,IF(OR(Check!S310=$AQ$5,AO123=""),AL124,"NB")))</f>
        <v>NB</v>
      </c>
      <c r="AP124" s="44"/>
      <c r="AQ124" s="44"/>
      <c r="AR124" s="44"/>
      <c r="AS124" s="41"/>
      <c r="AT124" s="41"/>
      <c r="AU124" s="41"/>
      <c r="AV124" s="442"/>
      <c r="AW124" s="44"/>
      <c r="AX124" s="41" t="s">
        <v>1634</v>
      </c>
      <c r="AY124" s="42" t="str">
        <f>IF(AND(AZ123="NB",AZ128="NB"),"NB",SUM(AZ123:AZ136)/2)</f>
        <v>NB</v>
      </c>
      <c r="AZ124" s="41"/>
      <c r="BA124" s="42"/>
      <c r="BB124" s="577"/>
      <c r="BC124" s="582"/>
      <c r="BD124" s="398"/>
      <c r="BE124" s="579"/>
      <c r="BF124" s="577"/>
      <c r="BG124" s="582"/>
      <c r="BH124" s="398"/>
      <c r="BI124" s="579"/>
      <c r="BJ124" s="138"/>
    </row>
    <row r="125" spans="1:62" ht="15" customHeight="1">
      <c r="A125" s="138"/>
      <c r="B125" s="498">
        <v>142</v>
      </c>
      <c r="C125" s="870" t="str">
        <f>IF(Tool!$H$7="Français",G125,IF(Tool!$H$7="Italiano",I125,E125))</f>
        <v>Wird ein NIS-Zonenplan (nicht ionisierende Strahlung) erstellt und anhand von Messungen nachgewiesen, dass die Schadstoffbelastung (Formaldehyd und TVOC) und die Belastung durch Strahlung (Radon) die Grenzwerte gemäss Minergie-ECO nicht überschreiten?</v>
      </c>
      <c r="D125" s="498">
        <f>$B125</f>
        <v>142</v>
      </c>
      <c r="E125" s="506" t="s">
        <v>1073</v>
      </c>
      <c r="F125" s="498">
        <f>$B125</f>
        <v>142</v>
      </c>
      <c r="G125" s="506" t="s">
        <v>1772</v>
      </c>
      <c r="H125" s="498">
        <f>$B125</f>
        <v>142</v>
      </c>
      <c r="I125" s="500" t="s">
        <v>1784</v>
      </c>
      <c r="J125" s="498">
        <f>$B125</f>
        <v>142</v>
      </c>
      <c r="K125" s="501"/>
      <c r="L125" s="502"/>
      <c r="M125" s="502"/>
      <c r="N125" s="502"/>
      <c r="O125" s="502"/>
      <c r="P125" s="503"/>
      <c r="Q125" s="498">
        <f>$B125</f>
        <v>142</v>
      </c>
      <c r="R125" s="509"/>
      <c r="S125" s="510"/>
      <c r="T125" s="510"/>
      <c r="U125" s="510"/>
      <c r="V125" s="510"/>
      <c r="W125" s="499"/>
      <c r="X125" s="498">
        <f>$B125</f>
        <v>142</v>
      </c>
      <c r="Y125" s="509"/>
      <c r="Z125" s="510"/>
      <c r="AA125" s="510"/>
      <c r="AB125" s="510"/>
      <c r="AC125" s="510"/>
      <c r="AD125" s="499"/>
      <c r="AE125" s="138"/>
      <c r="AF125" s="335"/>
      <c r="AG125" s="340"/>
      <c r="AH125" s="766"/>
      <c r="AI125" s="340"/>
      <c r="AJ125" s="43">
        <f>1/4</f>
        <v>0.25</v>
      </c>
      <c r="AK125" s="43">
        <f t="shared" ref="AK125:AK127" si="18">AJ125*0.3</f>
        <v>7.4999999999999997E-2</v>
      </c>
      <c r="AL125" s="43">
        <v>0</v>
      </c>
      <c r="AM125" s="44"/>
      <c r="AN125" s="44"/>
      <c r="AO125" s="44" t="str">
        <f>IF(Check!S313=$AQ$4,AJ125,IF(Check!S313=$AQ$6,AK125,IF(OR(Check!S313=$AQ$5,AO123=""),AL125,"NB")))</f>
        <v>NB</v>
      </c>
      <c r="AP125" s="44"/>
      <c r="AQ125" s="44"/>
      <c r="AR125" s="44"/>
      <c r="AS125" s="41"/>
      <c r="AT125" s="41"/>
      <c r="AU125" s="41"/>
      <c r="AV125" s="442"/>
      <c r="AW125" s="44"/>
      <c r="AX125" s="41" t="s">
        <v>1647</v>
      </c>
      <c r="AY125" s="42" t="str">
        <f>IF(AZ123="NB","NB",AZ123)</f>
        <v>NB</v>
      </c>
      <c r="AZ125" s="41"/>
      <c r="BA125" s="42"/>
      <c r="BB125" s="577"/>
      <c r="BC125" s="582"/>
      <c r="BD125" s="398"/>
      <c r="BE125" s="579"/>
      <c r="BF125" s="577"/>
      <c r="BG125" s="582"/>
      <c r="BH125" s="398"/>
      <c r="BI125" s="579"/>
      <c r="BJ125" s="138"/>
    </row>
    <row r="126" spans="1:62" ht="15" customHeight="1">
      <c r="A126" s="138"/>
      <c r="B126" s="498"/>
      <c r="C126" s="870" t="str">
        <f>IF(Tool!$H$7="Français",G126,IF(Tool!$H$7="Italiano",I126,E126))</f>
        <v>Werden Massnahmen getroffen, welche sicherstellen, dass die Radonkonzentration eingedämmt wird (z. B. kein Unterdruck im Gebäude, sorgfältige Abdichtung von erdberührten Räumen)?</v>
      </c>
      <c r="D126" s="498"/>
      <c r="E126" s="506" t="s">
        <v>727</v>
      </c>
      <c r="F126" s="498"/>
      <c r="G126" s="506" t="s">
        <v>1773</v>
      </c>
      <c r="H126" s="500"/>
      <c r="I126" s="500" t="s">
        <v>728</v>
      </c>
      <c r="J126" s="498"/>
      <c r="K126" s="501"/>
      <c r="L126" s="502"/>
      <c r="M126" s="502"/>
      <c r="N126" s="502"/>
      <c r="O126" s="502"/>
      <c r="P126" s="503"/>
      <c r="Q126" s="498"/>
      <c r="R126" s="509"/>
      <c r="S126" s="510"/>
      <c r="T126" s="510"/>
      <c r="U126" s="510"/>
      <c r="V126" s="510"/>
      <c r="W126" s="499"/>
      <c r="X126" s="498"/>
      <c r="Y126" s="509"/>
      <c r="Z126" s="510"/>
      <c r="AA126" s="510"/>
      <c r="AB126" s="510"/>
      <c r="AC126" s="510"/>
      <c r="AD126" s="499"/>
      <c r="AE126" s="138" t="s">
        <v>28</v>
      </c>
      <c r="AF126" s="335"/>
      <c r="AG126" s="340"/>
      <c r="AH126" s="766"/>
      <c r="AI126" s="340"/>
      <c r="AJ126" s="1024">
        <f>1/4</f>
        <v>0.25</v>
      </c>
      <c r="AK126" s="43">
        <f t="shared" si="18"/>
        <v>7.4999999999999997E-2</v>
      </c>
      <c r="AL126" s="43">
        <v>0</v>
      </c>
      <c r="AM126" s="44"/>
      <c r="AN126" s="44"/>
      <c r="AO126" s="44" t="str">
        <f>IF(Check!S316=$AQ$4,AJ126,IF(Check!S316=$AQ$6,AK126,IF(OR(Check!S316=$AQ$5,AO123=""),AL126,"NB")))</f>
        <v>NB</v>
      </c>
      <c r="AP126" s="44"/>
      <c r="AQ126" s="44"/>
      <c r="AR126" s="44"/>
      <c r="AS126" s="41"/>
      <c r="AT126" s="41"/>
      <c r="AU126" s="41"/>
      <c r="AV126" s="442"/>
      <c r="AW126" s="44"/>
      <c r="AX126" s="41"/>
      <c r="AY126" s="42"/>
      <c r="AZ126" s="41"/>
      <c r="BA126" s="42"/>
      <c r="BB126" s="577"/>
      <c r="BC126" s="582"/>
      <c r="BD126" s="398"/>
      <c r="BE126" s="579"/>
      <c r="BF126" s="577"/>
      <c r="BG126" s="582"/>
      <c r="BH126" s="398"/>
      <c r="BI126" s="579"/>
      <c r="BJ126" s="138"/>
    </row>
    <row r="127" spans="1:62" ht="15" customHeight="1">
      <c r="A127" s="138"/>
      <c r="B127" s="498"/>
      <c r="C127" s="870" t="str">
        <f>IF(Tool!$H$7="Français",G127,IF(Tool!$H$7="Italiano",I127,E127))</f>
        <v>Wird ein NIS-Zonenplan (Nicht ionisierende Strahlung) für das ganze Gebäude erstellt und werden Empfehlungen zum Elektrosmog umgesetzt?</v>
      </c>
      <c r="D127" s="498"/>
      <c r="E127" s="506" t="s">
        <v>153</v>
      </c>
      <c r="F127" s="498"/>
      <c r="G127" s="506" t="s">
        <v>729</v>
      </c>
      <c r="H127" s="500"/>
      <c r="I127" s="500" t="s">
        <v>1785</v>
      </c>
      <c r="J127" s="498"/>
      <c r="K127" s="501"/>
      <c r="L127" s="502"/>
      <c r="M127" s="502"/>
      <c r="N127" s="502"/>
      <c r="O127" s="502"/>
      <c r="P127" s="503"/>
      <c r="Q127" s="498"/>
      <c r="R127" s="509"/>
      <c r="S127" s="510"/>
      <c r="T127" s="510"/>
      <c r="U127" s="510"/>
      <c r="V127" s="510"/>
      <c r="W127" s="499"/>
      <c r="X127" s="498"/>
      <c r="Y127" s="509"/>
      <c r="Z127" s="510"/>
      <c r="AA127" s="510"/>
      <c r="AB127" s="510"/>
      <c r="AC127" s="510"/>
      <c r="AD127" s="499"/>
      <c r="AE127" s="138"/>
      <c r="AF127" s="335"/>
      <c r="AG127" s="340"/>
      <c r="AH127" s="766"/>
      <c r="AI127" s="340"/>
      <c r="AJ127" s="1024">
        <f>1/4</f>
        <v>0.25</v>
      </c>
      <c r="AK127" s="43">
        <f t="shared" si="18"/>
        <v>7.4999999999999997E-2</v>
      </c>
      <c r="AL127" s="43">
        <v>0</v>
      </c>
      <c r="AM127" s="44"/>
      <c r="AN127" s="44"/>
      <c r="AO127" s="44" t="str">
        <f>IF(Check!S319=$AQ$4,AJ127,IF(Check!S319=$AQ$6,AK127,IF(OR(Check!S319=$AQ$5,AO123=""),AL127,"NB")))</f>
        <v>NB</v>
      </c>
      <c r="AP127" s="44"/>
      <c r="AQ127" s="44"/>
      <c r="AR127" s="44"/>
      <c r="AS127" s="41"/>
      <c r="AT127" s="41"/>
      <c r="AU127" s="41"/>
      <c r="AV127" s="442"/>
      <c r="AW127" s="44"/>
      <c r="AX127" s="41"/>
      <c r="AY127" s="42"/>
      <c r="AZ127" s="41"/>
      <c r="BA127" s="42"/>
      <c r="BB127" s="577"/>
      <c r="BC127" s="582"/>
      <c r="BD127" s="398"/>
      <c r="BE127" s="579"/>
      <c r="BF127" s="577"/>
      <c r="BG127" s="582"/>
      <c r="BH127" s="398"/>
      <c r="BI127" s="579"/>
      <c r="BJ127" s="138"/>
    </row>
    <row r="128" spans="1:62" ht="15" customHeight="1">
      <c r="A128" s="138"/>
      <c r="B128" s="498"/>
      <c r="C128" s="870" t="str">
        <f>IF(Tool!$H$7="Français",G128,IF(Tool!$H$7="Italiano",I128,E128))</f>
        <v>Wird in beheizten Innenräumen auf die Verwendung von Baustoffen verzichtet, welche relevante Mengen an Formaldehyd in die Raumluft abgeben (z. B. Holzwerkstoffe, Akustikputzsysteme, Mehrschichtparkett)?</v>
      </c>
      <c r="D128" s="498"/>
      <c r="E128" s="506" t="s">
        <v>730</v>
      </c>
      <c r="F128" s="498"/>
      <c r="G128" s="506" t="s">
        <v>768</v>
      </c>
      <c r="H128" s="500"/>
      <c r="I128" s="500" t="s">
        <v>770</v>
      </c>
      <c r="J128" s="498"/>
      <c r="K128" s="501"/>
      <c r="L128" s="502"/>
      <c r="M128" s="502"/>
      <c r="N128" s="502"/>
      <c r="O128" s="502"/>
      <c r="P128" s="503"/>
      <c r="Q128" s="498"/>
      <c r="R128" s="509"/>
      <c r="S128" s="510"/>
      <c r="T128" s="510"/>
      <c r="U128" s="510"/>
      <c r="V128" s="510"/>
      <c r="W128" s="499"/>
      <c r="X128" s="498"/>
      <c r="Y128" s="509"/>
      <c r="Z128" s="510"/>
      <c r="AA128" s="510"/>
      <c r="AB128" s="510"/>
      <c r="AC128" s="510"/>
      <c r="AD128" s="499"/>
      <c r="AE128" s="138"/>
      <c r="AF128" s="1006" t="str">
        <f>AT$30</f>
        <v>K131</v>
      </c>
      <c r="AG128" s="1003" t="str">
        <f>AU30</f>
        <v>Abkühlungsangebot halböffentliche Räume</v>
      </c>
      <c r="AH128" s="1007"/>
      <c r="AI128" s="1003"/>
      <c r="AJ128" s="1008">
        <v>1</v>
      </c>
      <c r="AK128" s="1008" t="s">
        <v>46</v>
      </c>
      <c r="AL128" s="1008">
        <v>0</v>
      </c>
      <c r="AM128" s="1012"/>
      <c r="AN128" s="1012"/>
      <c r="AO128" s="1023" t="str">
        <f>IF(Check!S322=$AQ$4,AJ128,IF(OR(Check!S322=$AQ$6,Check!S322=$AQ$5,Check!S322=$AR$5),AL128,"NB"))</f>
        <v>NB</v>
      </c>
      <c r="AP128" s="1012"/>
      <c r="AQ128" s="1012"/>
      <c r="AR128" s="1012"/>
      <c r="AS128" s="1012"/>
      <c r="AT128" s="1012"/>
      <c r="AU128" s="1012"/>
      <c r="AV128" s="1009" t="str">
        <f>IF(AP128=1,1,
IF(AO128=1,1,
IF(COUNTIF(AO129:AO132,"NB"),"NB",
IF(SUM(AO129:AO132)&gt;1,1,
IF(AND(SUM(AO129:AO132)&gt;=0,SUM(AO129:AO132)&lt;=1),SUM(AO129:AO132),"NB")))))</f>
        <v>NB</v>
      </c>
      <c r="AW128" s="655" t="str">
        <f>IF(AV128="NB","NB",AV128)</f>
        <v>NB</v>
      </c>
      <c r="AX128" s="1012"/>
      <c r="AY128" s="1035"/>
      <c r="AZ128" s="1485" t="str">
        <f>AW128</f>
        <v>NB</v>
      </c>
      <c r="BA128" s="1035"/>
      <c r="BB128" s="577" t="str">
        <f>IF($AW$128="NB","",
IF($AW$128&gt;=0.85,AF128&amp;" "&amp;AG128&amp;"; ",""))</f>
        <v/>
      </c>
      <c r="BC128" s="582" t="str">
        <f>IF($AW$128="NB","",
IF(AND($AW$128&gt;=0.65,$AW$128&lt;0.85),AF128&amp;" "&amp;AG128&amp;"; ",""))</f>
        <v/>
      </c>
      <c r="BD128" s="398" t="str">
        <f>IF($AW$128="NB","",
IF(AND($AW$128&gt;=0.5,$AW$128&lt;0.65),AF128&amp;" "&amp;AG128&amp;"; ",""))</f>
        <v/>
      </c>
      <c r="BE128" s="579" t="str">
        <f>IF($AW$128="NB","",
IF($AW$128&lt;0.5,AF128&amp;" "&amp;AG128&amp;"; ",""))</f>
        <v/>
      </c>
      <c r="BF128" s="577" t="str">
        <f>IF($AW$128="NB","",
IF($AW$128&gt;=0.85,AF128&amp;" ",""))</f>
        <v/>
      </c>
      <c r="BG128" s="582" t="str">
        <f>IF($AW$128="NB","",
IF(AND($AW$128&gt;=0.65,$AW$128&lt;0.85),AF128&amp;" ",""))</f>
        <v/>
      </c>
      <c r="BH128" s="398" t="str">
        <f>IF($AW$128="NB","",
IF(AND($AW$128&gt;=0.5,$AW$128&lt;0.65),AF128&amp;" ",""))</f>
        <v/>
      </c>
      <c r="BI128" s="579" t="str">
        <f>IF($AW$128="NB","",
IF($AW$128&lt;0.5,AF128&amp;" ",""))</f>
        <v/>
      </c>
      <c r="BJ128" s="138"/>
    </row>
    <row r="129" spans="1:62" ht="15" customHeight="1">
      <c r="A129" s="138"/>
      <c r="B129" s="498"/>
      <c r="C129" s="870" t="str">
        <f>IF(Tool!$H$7="Français",G129,IF(Tool!$H$7="Italiano",I129,E129))</f>
        <v>Wird in beheizten Innenräumen auf die Verwendung von Baustoffen verzichtet, welche relevante Mengen an Lösemitteln in die Raumluft abgeben (z. B. bestimmte Beschichtungsstoffe, Klebstoffe oder Reinigungsmittel)?</v>
      </c>
      <c r="D129" s="498"/>
      <c r="E129" s="506" t="s">
        <v>769</v>
      </c>
      <c r="F129" s="498"/>
      <c r="G129" s="506" t="s">
        <v>772</v>
      </c>
      <c r="H129" s="500"/>
      <c r="I129" s="500" t="s">
        <v>771</v>
      </c>
      <c r="J129" s="498"/>
      <c r="K129" s="501"/>
      <c r="L129" s="502"/>
      <c r="M129" s="502"/>
      <c r="N129" s="502"/>
      <c r="O129" s="502"/>
      <c r="P129" s="503"/>
      <c r="Q129" s="498"/>
      <c r="R129" s="509"/>
      <c r="S129" s="510"/>
      <c r="T129" s="510"/>
      <c r="U129" s="510"/>
      <c r="V129" s="510"/>
      <c r="W129" s="499"/>
      <c r="X129" s="498"/>
      <c r="Y129" s="509"/>
      <c r="Z129" s="510"/>
      <c r="AA129" s="510"/>
      <c r="AB129" s="510"/>
      <c r="AC129" s="510"/>
      <c r="AD129" s="499"/>
      <c r="AE129" s="138"/>
      <c r="AF129" s="409"/>
      <c r="AG129" s="769"/>
      <c r="AH129" s="771"/>
      <c r="AI129" s="769"/>
      <c r="AJ129" s="43">
        <f>AJ128/4</f>
        <v>0.25</v>
      </c>
      <c r="AK129" s="43">
        <f>AJ129*0.3</f>
        <v>7.4999999999999997E-2</v>
      </c>
      <c r="AL129" s="43">
        <v>0</v>
      </c>
      <c r="AM129" s="44"/>
      <c r="AN129" s="44"/>
      <c r="AO129" s="44" t="str">
        <f>IF(Check!S325=$AQ$4,AJ129,IF(Check!S325=$AQ$6,AK129,IF(OR(Check!S325=$AQ$5,AO128=""),AL129,"NB")))</f>
        <v>NB</v>
      </c>
      <c r="AP129" s="981"/>
      <c r="AQ129" s="44"/>
      <c r="AR129" s="44"/>
      <c r="AS129" s="146"/>
      <c r="AT129" s="41"/>
      <c r="AU129" s="41"/>
      <c r="AV129" s="442"/>
      <c r="AW129" s="44"/>
      <c r="AX129" s="41"/>
      <c r="AY129" s="42"/>
      <c r="AZ129" s="41"/>
      <c r="BA129" s="42"/>
      <c r="BB129" s="577"/>
      <c r="BC129" s="582"/>
      <c r="BD129" s="398"/>
      <c r="BE129" s="579"/>
      <c r="BF129" s="577"/>
      <c r="BG129" s="582"/>
      <c r="BH129" s="398"/>
      <c r="BI129" s="579"/>
      <c r="BJ129" s="138"/>
    </row>
    <row r="130" spans="1:62" ht="15" customHeight="1">
      <c r="A130" s="138"/>
      <c r="B130" s="498"/>
      <c r="C130" s="870" t="str">
        <f>IF(Tool!$H$7="Français",G130,IF(Tool!$H$7="Italiano",I130,E130))</f>
        <v>Werden Raumluftmessungen nach dem Bauvorhaben zur Einhaltung der entsprechenden Grenzwerte vorgesehen (Formaldehyd, TVOC)?</v>
      </c>
      <c r="D130" s="498"/>
      <c r="E130" s="506" t="s">
        <v>773</v>
      </c>
      <c r="F130" s="498"/>
      <c r="G130" s="506" t="s">
        <v>1774</v>
      </c>
      <c r="H130" s="500"/>
      <c r="I130" s="500" t="s">
        <v>774</v>
      </c>
      <c r="J130" s="498"/>
      <c r="K130" s="501"/>
      <c r="L130" s="502"/>
      <c r="M130" s="502"/>
      <c r="N130" s="502"/>
      <c r="O130" s="502"/>
      <c r="P130" s="503"/>
      <c r="Q130" s="498"/>
      <c r="R130" s="509"/>
      <c r="S130" s="510"/>
      <c r="T130" s="510"/>
      <c r="U130" s="510"/>
      <c r="V130" s="510"/>
      <c r="W130" s="499"/>
      <c r="X130" s="498"/>
      <c r="Y130" s="509"/>
      <c r="Z130" s="510"/>
      <c r="AA130" s="510"/>
      <c r="AB130" s="510"/>
      <c r="AC130" s="510"/>
      <c r="AD130" s="499"/>
      <c r="AE130" s="138" t="s">
        <v>28</v>
      </c>
      <c r="AF130" s="409"/>
      <c r="AG130" s="769"/>
      <c r="AH130" s="771"/>
      <c r="AI130" s="769"/>
      <c r="AJ130" s="43">
        <f>AJ128/4</f>
        <v>0.25</v>
      </c>
      <c r="AK130" s="43">
        <f t="shared" ref="AK130:AK132" si="19">AJ130*0.3</f>
        <v>7.4999999999999997E-2</v>
      </c>
      <c r="AL130" s="43">
        <v>0</v>
      </c>
      <c r="AM130" s="44"/>
      <c r="AN130" s="44"/>
      <c r="AO130" s="44" t="str">
        <f>IF(Check!S328=$AQ$4,AJ130,IF(Check!S328=$AQ$6,AK130,IF(OR(Check!S328=$AQ$5,AO128=""),AL130,"NB")))</f>
        <v>NB</v>
      </c>
      <c r="AP130" s="981"/>
      <c r="AQ130" s="44"/>
      <c r="AR130" s="44"/>
      <c r="AS130" s="146"/>
      <c r="AT130" s="41"/>
      <c r="AU130" s="41"/>
      <c r="AV130" s="442"/>
      <c r="AW130" s="44"/>
      <c r="AX130" s="41"/>
      <c r="AY130" s="42"/>
      <c r="AZ130" s="41"/>
      <c r="BA130" s="42"/>
      <c r="BB130" s="577"/>
      <c r="BC130" s="582"/>
      <c r="BD130" s="398"/>
      <c r="BE130" s="579"/>
      <c r="BF130" s="577"/>
      <c r="BG130" s="582"/>
      <c r="BH130" s="398"/>
      <c r="BI130" s="579"/>
      <c r="BJ130" s="138"/>
    </row>
    <row r="131" spans="1:62" ht="15" customHeight="1">
      <c r="A131" s="138"/>
      <c r="B131" s="498">
        <v>143</v>
      </c>
      <c r="C131" s="870" t="str">
        <f>IF(Tool!$H$7="Français",G131,IF(Tool!$H$7="Italiano",I131,E131))</f>
        <v xml:space="preserve">Wird die Umgebungsgestaltung beim Bauvorhaben so konzipiert, dass sie (z. B. durch Grünflächen am und um das Gebäude, grosskronige Baumbestände, Verschattungen und Oberflächengestaltung) eine abkühlende Wirkung auf Gebäude und Aussenraum erzielt? </v>
      </c>
      <c r="D131" s="498">
        <f>$B131</f>
        <v>143</v>
      </c>
      <c r="E131" s="506" t="s">
        <v>775</v>
      </c>
      <c r="F131" s="498">
        <f>$B131</f>
        <v>143</v>
      </c>
      <c r="G131" s="506" t="s">
        <v>1775</v>
      </c>
      <c r="H131" s="498">
        <f>$B131</f>
        <v>143</v>
      </c>
      <c r="I131" s="925" t="s">
        <v>1786</v>
      </c>
      <c r="J131" s="498">
        <f>$B131</f>
        <v>143</v>
      </c>
      <c r="K131" s="501"/>
      <c r="L131" s="502"/>
      <c r="M131" s="502"/>
      <c r="N131" s="502"/>
      <c r="O131" s="502"/>
      <c r="P131" s="503"/>
      <c r="Q131" s="498">
        <f>$B131</f>
        <v>143</v>
      </c>
      <c r="R131" s="509"/>
      <c r="S131" s="502"/>
      <c r="T131" s="502"/>
      <c r="U131" s="502"/>
      <c r="V131" s="502"/>
      <c r="W131" s="499"/>
      <c r="X131" s="498">
        <f>$B131</f>
        <v>143</v>
      </c>
      <c r="Y131" s="509"/>
      <c r="Z131" s="502"/>
      <c r="AA131" s="502"/>
      <c r="AB131" s="502"/>
      <c r="AC131" s="502"/>
      <c r="AD131" s="499"/>
      <c r="AE131" s="138"/>
      <c r="AF131" s="409"/>
      <c r="AG131" s="769"/>
      <c r="AH131" s="771"/>
      <c r="AI131" s="769"/>
      <c r="AJ131" s="43">
        <f>AJ128/4</f>
        <v>0.25</v>
      </c>
      <c r="AK131" s="43">
        <f t="shared" si="19"/>
        <v>7.4999999999999997E-2</v>
      </c>
      <c r="AL131" s="43">
        <v>0</v>
      </c>
      <c r="AM131" s="44"/>
      <c r="AN131" s="44"/>
      <c r="AO131" s="44" t="str">
        <f>IF(Check!S331=$AQ$4,AJ131,IF(Check!S331=$AQ$6,AK131,IF(OR(Check!S331=$AQ$5,AO128=""),AL131,"NB")))</f>
        <v>NB</v>
      </c>
      <c r="AP131" s="981"/>
      <c r="AQ131" s="44"/>
      <c r="AR131" s="44"/>
      <c r="AS131" s="146"/>
      <c r="AT131" s="41"/>
      <c r="AU131" s="41"/>
      <c r="AV131" s="442"/>
      <c r="AW131" s="44"/>
      <c r="AX131" s="41"/>
      <c r="AY131" s="42"/>
      <c r="AZ131" s="41"/>
      <c r="BA131" s="42"/>
      <c r="BB131" s="577"/>
      <c r="BC131" s="582"/>
      <c r="BD131" s="398"/>
      <c r="BE131" s="579"/>
      <c r="BF131" s="577"/>
      <c r="BG131" s="582"/>
      <c r="BH131" s="398"/>
      <c r="BI131" s="579"/>
      <c r="BJ131" s="138"/>
    </row>
    <row r="132" spans="1:62" ht="15" customHeight="1">
      <c r="A132" s="138"/>
      <c r="B132" s="498"/>
      <c r="C132" s="870" t="str">
        <f>IF(Tool!$H$7="Français",G132,IF(Tool!$H$7="Italiano",I132,E132))</f>
        <v>Besteht die unbebaute Grundstücksfläche grösstenteils aus unversiegelten Grünflächen?</v>
      </c>
      <c r="D132" s="498"/>
      <c r="E132" s="506" t="s">
        <v>776</v>
      </c>
      <c r="F132" s="498"/>
      <c r="G132" s="506" t="s">
        <v>890</v>
      </c>
      <c r="H132" s="498"/>
      <c r="I132" s="925" t="s">
        <v>777</v>
      </c>
      <c r="J132" s="498"/>
      <c r="K132" s="501"/>
      <c r="L132" s="502"/>
      <c r="M132" s="502"/>
      <c r="N132" s="502"/>
      <c r="O132" s="502"/>
      <c r="P132" s="503"/>
      <c r="Q132" s="498"/>
      <c r="R132" s="509"/>
      <c r="S132" s="510"/>
      <c r="T132" s="510"/>
      <c r="U132" s="510"/>
      <c r="V132" s="510"/>
      <c r="W132" s="499"/>
      <c r="X132" s="498"/>
      <c r="Y132" s="509"/>
      <c r="Z132" s="510"/>
      <c r="AA132" s="510"/>
      <c r="AB132" s="510"/>
      <c r="AC132" s="510"/>
      <c r="AD132" s="499"/>
      <c r="AE132" s="138"/>
      <c r="AF132" s="335"/>
      <c r="AG132" s="340"/>
      <c r="AH132" s="766"/>
      <c r="AI132" s="340"/>
      <c r="AJ132" s="1024">
        <f>AJ128/4</f>
        <v>0.25</v>
      </c>
      <c r="AK132" s="43">
        <f t="shared" si="19"/>
        <v>7.4999999999999997E-2</v>
      </c>
      <c r="AL132" s="43">
        <v>0</v>
      </c>
      <c r="AM132" s="44"/>
      <c r="AN132" s="44"/>
      <c r="AO132" s="44" t="str">
        <f>IF(Check!S334=$AQ$4,AJ132,IF(Check!S334=$AQ$6,AK132,IF(OR(Check!S334=$AQ$5,AO128=""),AL132,"NB")))</f>
        <v>NB</v>
      </c>
      <c r="AP132" s="44"/>
      <c r="AQ132" s="44"/>
      <c r="AR132" s="44"/>
      <c r="AS132" s="41"/>
      <c r="AT132" s="41"/>
      <c r="AU132" s="41"/>
      <c r="AV132" s="442"/>
      <c r="AW132" s="44"/>
      <c r="AX132" s="41"/>
      <c r="AY132" s="42"/>
      <c r="AZ132" s="41"/>
      <c r="BA132" s="42"/>
      <c r="BB132" s="577"/>
      <c r="BC132" s="582"/>
      <c r="BD132" s="398"/>
      <c r="BE132" s="579"/>
      <c r="BF132" s="577"/>
      <c r="BG132" s="582"/>
      <c r="BH132" s="398"/>
      <c r="BI132" s="579"/>
      <c r="BJ132" s="138"/>
    </row>
    <row r="133" spans="1:62" ht="15" customHeight="1">
      <c r="A133" s="138"/>
      <c r="B133" s="498"/>
      <c r="C133" s="870" t="str">
        <f>IF(Tool!$H$7="Français",G133,IF(Tool!$H$7="Italiano",I133,E133))</f>
        <v>Wird alter, grosskroniger Baumbestand erhalten, oder grossflächige Verschattung auf dem Grundstück anderweitig gewährleistet?</v>
      </c>
      <c r="D133" s="498"/>
      <c r="E133" s="506" t="s">
        <v>778</v>
      </c>
      <c r="F133" s="498"/>
      <c r="G133" s="506" t="s">
        <v>1776</v>
      </c>
      <c r="H133" s="500"/>
      <c r="I133" s="500" t="s">
        <v>779</v>
      </c>
      <c r="J133" s="498"/>
      <c r="K133" s="501"/>
      <c r="L133" s="502"/>
      <c r="M133" s="502"/>
      <c r="N133" s="502"/>
      <c r="O133" s="502"/>
      <c r="P133" s="503"/>
      <c r="Q133" s="498"/>
      <c r="R133" s="509"/>
      <c r="S133" s="510"/>
      <c r="T133" s="510"/>
      <c r="U133" s="510"/>
      <c r="V133" s="510"/>
      <c r="W133" s="499"/>
      <c r="X133" s="498"/>
      <c r="Y133" s="509"/>
      <c r="Z133" s="510"/>
      <c r="AA133" s="510"/>
      <c r="AB133" s="510"/>
      <c r="AC133" s="510"/>
      <c r="AD133" s="499"/>
      <c r="AE133" s="138"/>
      <c r="AF133" s="824">
        <f>AQ29</f>
        <v>132</v>
      </c>
      <c r="AG133" s="818" t="str">
        <f>AR29</f>
        <v>Sicherheit</v>
      </c>
      <c r="AH133" s="1016"/>
      <c r="AI133" s="768"/>
      <c r="AJ133" s="519">
        <v>1</v>
      </c>
      <c r="AK133" s="519" t="s">
        <v>46</v>
      </c>
      <c r="AL133" s="520">
        <v>0</v>
      </c>
      <c r="AM133" s="1020"/>
      <c r="AN133" s="1020"/>
      <c r="AO133" s="1020" t="str">
        <f>IF(Check!S337=$AQ$4,AJ133,IF(OR(Check!S337=$AQ$6,Check!S337=$AQ$5,Check!S337=$AU$6),AL133,"NB"))</f>
        <v>NB</v>
      </c>
      <c r="AP133" s="1029"/>
      <c r="AQ133" s="1020" t="str">
        <f>IF(AP133=1,1,
IF(AO133=1,1,
IF(COUNTIF(AO134:AO136,"NB"),"NB",
IF(SUM(AO134:AO136)&gt;1,1,
IF(AND(SUM(AO134:AO136)&gt;=0,SUM(AO134:AO136)&lt;=1),SUM(AO134:AO136),"NB")))))</f>
        <v>NB</v>
      </c>
      <c r="AR133" s="1020"/>
      <c r="AS133" s="1030" t="str">
        <f>IF(AQ133="NB","NB",AQ133)</f>
        <v>NB</v>
      </c>
      <c r="AT133" s="1022"/>
      <c r="AU133" s="1022"/>
      <c r="AV133" s="1026"/>
      <c r="AW133" s="1020"/>
      <c r="AX133" s="1022"/>
      <c r="AY133" s="1027"/>
      <c r="AZ133" s="1022"/>
      <c r="BA133" s="1027"/>
      <c r="BB133" s="577" t="str">
        <f>IF($AS$133="NB","",
IF($AS$133&gt;=0.85,AF133&amp;" "&amp;AG133&amp;"; ",""))</f>
        <v/>
      </c>
      <c r="BC133" s="582" t="str">
        <f>IF($AS$133="NB","",
IF(AND($AS$133&gt;=0.65,$AS$133&lt;0.85),AF133&amp;" "&amp;AG133&amp;"; ",""))</f>
        <v/>
      </c>
      <c r="BD133" s="398" t="str">
        <f>IF($AS$133="NB","",
IF(AND($AS$133&gt;=0.5,$AS$133&lt;0.65),AF133&amp;" "&amp;AG133&amp;"; ",""))</f>
        <v/>
      </c>
      <c r="BE133" s="579" t="str">
        <f>IF($AS$133="NB","",
IF($AS$133&lt;0.5,AF133&amp;" "&amp;AG133&amp;"; ",""))</f>
        <v/>
      </c>
      <c r="BF133" s="577" t="str">
        <f>IF($AS$133="NB","",
IF($AS$133&gt;=0.85,AF133&amp;" ",""))</f>
        <v/>
      </c>
      <c r="BG133" s="582" t="str">
        <f>IF($AS$133="NB","",
IF(AND($AS$133&gt;=0.65,$AS$133&lt;0.85),AF133&amp;" ",""))</f>
        <v/>
      </c>
      <c r="BH133" s="398" t="str">
        <f>IF($AS$133="NB","",
IF(AND($AS$133&gt;=0.5,$AS$133&lt;0.65),AF133&amp;" ",""))</f>
        <v/>
      </c>
      <c r="BI133" s="579" t="str">
        <f>IF($AS$133="NB","",
IF($AS$133&lt;0.5,AF133&amp;" ",""))</f>
        <v/>
      </c>
      <c r="BJ133" s="138"/>
    </row>
    <row r="134" spans="1:62" ht="15" customHeight="1">
      <c r="A134" s="138"/>
      <c r="B134" s="498"/>
      <c r="C134" s="870" t="str">
        <f>IF(Tool!$H$7="Français",G134,IF(Tool!$H$7="Italiano",I134,E134))</f>
        <v>Wird die Reflexion von Oberflächen im Aussenraum beschränkt (z. B. durch Begrünung, Fassadenbekleidung oder geringer Glasanteile)?</v>
      </c>
      <c r="D134" s="498"/>
      <c r="E134" s="506" t="s">
        <v>780</v>
      </c>
      <c r="F134" s="498"/>
      <c r="G134" s="506" t="s">
        <v>781</v>
      </c>
      <c r="H134" s="500"/>
      <c r="I134" s="500" t="s">
        <v>782</v>
      </c>
      <c r="J134" s="498"/>
      <c r="K134" s="501"/>
      <c r="L134" s="502"/>
      <c r="M134" s="502"/>
      <c r="N134" s="502"/>
      <c r="O134" s="502"/>
      <c r="P134" s="503"/>
      <c r="Q134" s="498"/>
      <c r="R134" s="509"/>
      <c r="S134" s="510"/>
      <c r="T134" s="510"/>
      <c r="U134" s="510"/>
      <c r="V134" s="510"/>
      <c r="W134" s="499"/>
      <c r="X134" s="498"/>
      <c r="Y134" s="509"/>
      <c r="Z134" s="510"/>
      <c r="AA134" s="510"/>
      <c r="AB134" s="510"/>
      <c r="AC134" s="510"/>
      <c r="AD134" s="499"/>
      <c r="AE134" s="138"/>
      <c r="AF134" s="335"/>
      <c r="AG134" s="340"/>
      <c r="AH134" s="766"/>
      <c r="AI134" s="340"/>
      <c r="AJ134" s="43">
        <f>AJ133/3</f>
        <v>0.33333333333333331</v>
      </c>
      <c r="AK134" s="43">
        <f>AJ134*0.3</f>
        <v>9.9999999999999992E-2</v>
      </c>
      <c r="AL134" s="43">
        <v>0</v>
      </c>
      <c r="AM134" s="44"/>
      <c r="AN134" s="44"/>
      <c r="AO134" s="44" t="str">
        <f>IF(Check!S340=$AQ$4,AJ134,IF(Check!S340=$AQ$6,AK134,IF(OR(Check!S340=$AQ$5,AO133=""),AL134,"NB")))</f>
        <v>NB</v>
      </c>
      <c r="AP134" s="44"/>
      <c r="AQ134" s="44"/>
      <c r="AR134" s="44"/>
      <c r="AS134" s="141"/>
      <c r="AT134" s="41"/>
      <c r="AU134" s="41"/>
      <c r="AV134" s="442"/>
      <c r="AW134" s="44"/>
      <c r="AX134" s="41"/>
      <c r="AY134" s="42"/>
      <c r="AZ134" s="41"/>
      <c r="BA134" s="42"/>
      <c r="BB134" s="577"/>
      <c r="BC134" s="582"/>
      <c r="BD134" s="398"/>
      <c r="BE134" s="579"/>
      <c r="BF134" s="577"/>
      <c r="BG134" s="582"/>
      <c r="BH134" s="398"/>
      <c r="BI134" s="579"/>
      <c r="BJ134" s="138"/>
    </row>
    <row r="135" spans="1:62" ht="15" customHeight="1">
      <c r="A135" s="138"/>
      <c r="B135" s="498"/>
      <c r="C135" s="870" t="str">
        <f>IF(Tool!$H$7="Français",G135,IF(Tool!$H$7="Italiano",I135,E135))</f>
        <v>Wird die Dach- und Fassadenbegründung so geplant, dass sie ohne Bewässerung auskommt?</v>
      </c>
      <c r="D135" s="498"/>
      <c r="E135" s="506" t="s">
        <v>1932</v>
      </c>
      <c r="F135" s="498"/>
      <c r="G135" s="506" t="s">
        <v>1933</v>
      </c>
      <c r="H135" s="500"/>
      <c r="I135" s="500" t="s">
        <v>1934</v>
      </c>
      <c r="J135" s="498"/>
      <c r="K135" s="501"/>
      <c r="L135" s="502"/>
      <c r="M135" s="502"/>
      <c r="N135" s="502"/>
      <c r="O135" s="502"/>
      <c r="P135" s="503"/>
      <c r="Q135" s="498"/>
      <c r="R135" s="509"/>
      <c r="S135" s="510"/>
      <c r="T135" s="510"/>
      <c r="U135" s="510"/>
      <c r="V135" s="510"/>
      <c r="W135" s="499"/>
      <c r="X135" s="498"/>
      <c r="Y135" s="509"/>
      <c r="Z135" s="510"/>
      <c r="AA135" s="510"/>
      <c r="AB135" s="510"/>
      <c r="AC135" s="510"/>
      <c r="AD135" s="499"/>
      <c r="AE135" s="138" t="s">
        <v>28</v>
      </c>
      <c r="AF135" s="335"/>
      <c r="AG135" s="340"/>
      <c r="AH135" s="766"/>
      <c r="AI135" s="340"/>
      <c r="AJ135" s="43">
        <f>AJ133/3</f>
        <v>0.33333333333333331</v>
      </c>
      <c r="AK135" s="43">
        <f t="shared" ref="AK135:AK136" si="20">AJ135*0.3</f>
        <v>9.9999999999999992E-2</v>
      </c>
      <c r="AL135" s="43">
        <v>0</v>
      </c>
      <c r="AM135" s="44"/>
      <c r="AN135" s="44"/>
      <c r="AO135" s="44" t="str">
        <f>IF(Check!S343=$AQ$4,AJ135,IF(Check!S343=$AQ$6,AK135,IF(OR(Check!S343=$AQ$5,AO133=""),AL135,"NB")))</f>
        <v>NB</v>
      </c>
      <c r="AP135" s="44"/>
      <c r="AQ135" s="44"/>
      <c r="AR135" s="44"/>
      <c r="AS135" s="141"/>
      <c r="AT135" s="41"/>
      <c r="AU135" s="41"/>
      <c r="AV135" s="442"/>
      <c r="AW135" s="44"/>
      <c r="AX135" s="41"/>
      <c r="AY135" s="42"/>
      <c r="AZ135" s="41"/>
      <c r="BA135" s="42"/>
      <c r="BB135" s="577"/>
      <c r="BC135" s="582"/>
      <c r="BD135" s="398"/>
      <c r="BE135" s="579"/>
      <c r="BF135" s="577"/>
      <c r="BG135" s="582"/>
      <c r="BH135" s="398"/>
      <c r="BI135" s="579"/>
      <c r="BJ135" s="138"/>
    </row>
    <row r="136" spans="1:62" ht="15" customHeight="1">
      <c r="A136" s="138"/>
      <c r="B136" s="498">
        <v>144</v>
      </c>
      <c r="C136" s="870" t="str">
        <f>IF(Tool!$H$7="Français",G136,IF(Tool!$H$7="Italiano",I136,E136))</f>
        <v>Wird die Einhaltung der thermischen Behaglichkeit im Sommer gemäss der geltenden Norm SIA 180 auch mit Klimadaten der Zukunft nachgewiesen?</v>
      </c>
      <c r="D136" s="498">
        <f>$B136</f>
        <v>144</v>
      </c>
      <c r="E136" s="506" t="str">
        <f>IF(OR(AG25=AF6,AG25=AF7),K136,"Wird die Einhaltung der thermischen Behaglichkeit im Sommer gemäss der geltenden Norm SIA 180 auch mit Klimadaten der Zukunft nachgewiesen?")</f>
        <v>Wird die Einhaltung der thermischen Behaglichkeit im Sommer gemäss der geltenden Norm SIA 180 auch mit Klimadaten der Zukunft nachgewiesen?</v>
      </c>
      <c r="F136" s="498">
        <f>$B136</f>
        <v>144</v>
      </c>
      <c r="G136" s="506" t="str">
        <f>IF(OR(AG25=AF6,AG25=AF7),R136,"Le maintien du confort thermique en été conformément à la norme SIA 180 en vigueur est-il assuré en considérant également les données climatiques 
futures ?")</f>
        <v>Le maintien du confort thermique en été conformément à la norme SIA 180 en vigueur est-il assuré en considérant également les données climatiques 
futures ?</v>
      </c>
      <c r="H136" s="498">
        <f>$B136</f>
        <v>144</v>
      </c>
      <c r="I136" s="925" t="str">
        <f>IF(OR(AG25=AF6,AG25=AF7),Y136,"La conformità al comfort termico estivo secondo la norma SIA 180 applicabile è verificata anche con dati climatici futuri?")</f>
        <v>La conformità al comfort termico estivo secondo la norma SIA 180 applicabile è verificata anche con dati climatici futuri?</v>
      </c>
      <c r="J136" s="498">
        <f>$B136</f>
        <v>144</v>
      </c>
      <c r="K136" s="501" t="s">
        <v>783</v>
      </c>
      <c r="L136" s="502"/>
      <c r="M136" s="502"/>
      <c r="N136" s="502"/>
      <c r="O136" s="502"/>
      <c r="P136" s="503"/>
      <c r="Q136" s="498">
        <f>$B136</f>
        <v>144</v>
      </c>
      <c r="R136" s="509" t="s">
        <v>785</v>
      </c>
      <c r="S136" s="510"/>
      <c r="T136" s="510"/>
      <c r="U136" s="510"/>
      <c r="V136" s="510"/>
      <c r="W136" s="499"/>
      <c r="X136" s="498">
        <f>$B136</f>
        <v>144</v>
      </c>
      <c r="Y136" s="509" t="s">
        <v>784</v>
      </c>
      <c r="Z136" s="510"/>
      <c r="AA136" s="510"/>
      <c r="AB136" s="510"/>
      <c r="AC136" s="510"/>
      <c r="AD136" s="499"/>
      <c r="AE136" s="138"/>
      <c r="AF136" s="335"/>
      <c r="AG136" s="340"/>
      <c r="AH136" s="766"/>
      <c r="AI136" s="340"/>
      <c r="AJ136" s="43">
        <f>AJ133/3</f>
        <v>0.33333333333333331</v>
      </c>
      <c r="AK136" s="43">
        <f t="shared" si="20"/>
        <v>9.9999999999999992E-2</v>
      </c>
      <c r="AL136" s="43">
        <v>0</v>
      </c>
      <c r="AM136" s="44"/>
      <c r="AN136" s="44"/>
      <c r="AO136" s="39" t="str">
        <f>IF(Check!S346=$AQ$4,AJ136,IF(Check!S346=$AQ$6,AK136,IF(OR(Check!S346=$AQ$5,AO133=""),AL136,"NB")))</f>
        <v>NB</v>
      </c>
      <c r="AP136" s="44"/>
      <c r="AQ136" s="44"/>
      <c r="AR136" s="44"/>
      <c r="AS136" s="141"/>
      <c r="AT136" s="41"/>
      <c r="AU136" s="41"/>
      <c r="AV136" s="442"/>
      <c r="AW136" s="44"/>
      <c r="AX136" s="41"/>
      <c r="AY136" s="42"/>
      <c r="AZ136" s="41"/>
      <c r="BA136" s="42"/>
      <c r="BB136" s="577"/>
      <c r="BC136" s="582"/>
      <c r="BD136" s="398"/>
      <c r="BE136" s="579"/>
      <c r="BF136" s="577"/>
      <c r="BG136" s="582"/>
      <c r="BH136" s="398"/>
      <c r="BI136" s="579"/>
      <c r="BJ136" s="138"/>
    </row>
    <row r="137" spans="1:62" ht="15" customHeight="1">
      <c r="A137" s="138"/>
      <c r="B137" s="498"/>
      <c r="C137" s="870" t="str">
        <f>IF(Tool!$H$7="Français",G137,IF(Tool!$H$7="Italiano",I137,E137))</f>
        <v>Besitzt das Gebäude einen gut funktionierenden aussenliegenden, beweglichen Sonnenschutz?</v>
      </c>
      <c r="D137" s="498"/>
      <c r="E137" s="506" t="s">
        <v>491</v>
      </c>
      <c r="F137" s="498"/>
      <c r="G137" s="506" t="s">
        <v>501</v>
      </c>
      <c r="H137" s="500"/>
      <c r="I137" s="925" t="s">
        <v>786</v>
      </c>
      <c r="J137" s="498"/>
      <c r="K137" s="501"/>
      <c r="L137" s="502"/>
      <c r="M137" s="502"/>
      <c r="N137" s="502"/>
      <c r="O137" s="502"/>
      <c r="P137" s="503"/>
      <c r="Q137" s="498"/>
      <c r="R137" s="509"/>
      <c r="S137" s="510"/>
      <c r="T137" s="510"/>
      <c r="U137" s="510"/>
      <c r="V137" s="510"/>
      <c r="W137" s="499"/>
      <c r="X137" s="498"/>
      <c r="Y137" s="509"/>
      <c r="Z137" s="510"/>
      <c r="AA137" s="510"/>
      <c r="AB137" s="510"/>
      <c r="AC137" s="510"/>
      <c r="AD137" s="499"/>
      <c r="AE137" s="138" t="s">
        <v>28</v>
      </c>
      <c r="AF137" s="1028" t="str">
        <f>AQ30</f>
        <v>141</v>
      </c>
      <c r="AG137" s="1005" t="str">
        <f>AR30</f>
        <v>Raumluftqualität</v>
      </c>
      <c r="AH137" s="1014"/>
      <c r="AI137" s="1015"/>
      <c r="AJ137" s="521">
        <v>1</v>
      </c>
      <c r="AK137" s="521" t="s">
        <v>46</v>
      </c>
      <c r="AL137" s="522">
        <v>0</v>
      </c>
      <c r="AM137" s="516">
        <v>0.75</v>
      </c>
      <c r="AN137" s="516"/>
      <c r="AO137" s="1020" t="str">
        <f>IF(AND(AG$31=AL$4,Check!S356=$AQ$4),AJ137,IF(AND(AG$31=AL$5,Check!S356=$AQ$4),AM137,IF(Check!S356=$AQ$4,AJ137,IF(OR(Check!S356=$AQ$6,Check!S356=$AQ$5,),AL137,"NB"))))</f>
        <v>NB</v>
      </c>
      <c r="AP137" s="1033"/>
      <c r="AQ137" s="516" t="str">
        <f>IF(AP137=1,1,
IF(AO137=1,1,
IF(COUNTIF(AO138:AO141,"NB"),"NB",
IF(SUM(AO138:AO141)&gt;1,1,
IF(AND(SUM(AO138:AO141)&gt;=0,SUM(AO138:AO141)&lt;=1),SUM(AO138:AO141),"NB")))))</f>
        <v>NB</v>
      </c>
      <c r="AR137" s="516"/>
      <c r="AS137" s="517" t="str">
        <f>IF(AQ137="NB","NB",AQ137)</f>
        <v>NB</v>
      </c>
      <c r="AT137" s="517" t="str">
        <f>IF(AND(AS137="NB",AS142="NB",AS148="NB",AS153="NB",AS164="NB",AS169="NB",AS177="NB"),"NB",SUM(AS137:AS181)/7)</f>
        <v>NB</v>
      </c>
      <c r="AU137" s="518"/>
      <c r="AV137" s="1129"/>
      <c r="AW137" s="516"/>
      <c r="AX137" s="518" t="str">
        <f>IF(AND(AW148="NB",AW153="NB",AW160="NB",AW173="NB"),"NB",SUM(AW137:AW181)/4)</f>
        <v>NB</v>
      </c>
      <c r="AY137" s="1628"/>
      <c r="AZ137" s="1048"/>
      <c r="BA137" s="1047"/>
      <c r="BB137" s="702" t="str">
        <f>IF($AS$137="NB","",
IF($AS$137&gt;=0.85,AF137&amp;" "&amp;AG137&amp;"; ",""))</f>
        <v/>
      </c>
      <c r="BC137" s="581" t="str">
        <f>IF($AS$137="NB","",
IF(AND($AS$137&gt;=0.65,$AS$137&lt;0.85),AF137&amp;" "&amp;AG137&amp;"; ",""))</f>
        <v/>
      </c>
      <c r="BD137" s="407" t="str">
        <f>IF($AS$137="NB","",
IF(AND($AS$137&gt;=0.5,$AS$137&lt;0.65),AF137&amp;" "&amp;AG137&amp;"; ",""))</f>
        <v/>
      </c>
      <c r="BE137" s="578" t="str">
        <f>IF($AS$137="NB","",
IF($AS$137&lt;0.5,AF137&amp;" "&amp;AG137&amp;"; ",""))</f>
        <v/>
      </c>
      <c r="BF137" s="702" t="str">
        <f>IF($AS$137="NB","",
IF($AS$137&gt;=0.85,AF137&amp;" ",""))</f>
        <v/>
      </c>
      <c r="BG137" s="581" t="str">
        <f>IF($AS$137="NB","",
IF(AND($AS$137&gt;=0.65,$AS$137&lt;0.85),AF137&amp;" ",""))</f>
        <v/>
      </c>
      <c r="BH137" s="407" t="str">
        <f>IF($AS$137="NB","",
IF(AND($AS$137&gt;=0.5,$AS$137&lt;0.65),AF137&amp;" ",""))</f>
        <v/>
      </c>
      <c r="BI137" s="578" t="str">
        <f>IF($AS$137="NB","",
IF($AS$137&lt;0.5,AF137&amp;" ",""))</f>
        <v/>
      </c>
      <c r="BJ137" s="138"/>
    </row>
    <row r="138" spans="1:62" ht="15" customHeight="1">
      <c r="A138" s="138"/>
      <c r="B138" s="498"/>
      <c r="C138" s="870" t="str">
        <f>IF(Tool!$H$7="Français",G138,IF(Tool!$H$7="Italiano",I138,E138))</f>
        <v>Sind die Fenster so gestaltet und positioniert, dass sie einen guten Kompromiss zwischen Hitzeschutz und ausreichendem Tageslichteinfall bieten 
(z. B. Überstände bei Südfenstern, Seitenblenden bei Ost- und Westfenstern, Lichtbänder mit geringer Sturzhöhe, Vermeidung von Oblichtern und raumhohen Fenstern auf der Südseite)?</v>
      </c>
      <c r="D138" s="498"/>
      <c r="E138" s="506" t="s">
        <v>1398</v>
      </c>
      <c r="F138" s="498"/>
      <c r="G138" s="506" t="s">
        <v>1777</v>
      </c>
      <c r="H138" s="500"/>
      <c r="I138" s="925" t="s">
        <v>1787</v>
      </c>
      <c r="J138" s="498"/>
      <c r="K138" s="501"/>
      <c r="L138" s="502"/>
      <c r="M138" s="502"/>
      <c r="N138" s="502"/>
      <c r="O138" s="502"/>
      <c r="P138" s="503"/>
      <c r="Q138" s="498"/>
      <c r="R138" s="509"/>
      <c r="S138" s="510"/>
      <c r="T138" s="510"/>
      <c r="U138" s="510"/>
      <c r="V138" s="510"/>
      <c r="W138" s="499"/>
      <c r="X138" s="498"/>
      <c r="Y138" s="509"/>
      <c r="Z138" s="510"/>
      <c r="AA138" s="510"/>
      <c r="AB138" s="510"/>
      <c r="AC138" s="510"/>
      <c r="AD138" s="499"/>
      <c r="AE138" s="310"/>
      <c r="AF138" s="335"/>
      <c r="AG138" s="340"/>
      <c r="AH138" s="766"/>
      <c r="AI138" s="340"/>
      <c r="AJ138" s="43">
        <f>1/4</f>
        <v>0.25</v>
      </c>
      <c r="AK138" s="43">
        <f>AJ138*0.3</f>
        <v>7.4999999999999997E-2</v>
      </c>
      <c r="AL138" s="43">
        <v>0</v>
      </c>
      <c r="AM138" s="1224">
        <f>AM$137/4</f>
        <v>0.1875</v>
      </c>
      <c r="AN138" s="1224">
        <f>AM138*0.3</f>
        <v>5.6249999999999994E-2</v>
      </c>
      <c r="AO138" s="44" t="str">
        <f>IF(AND(AG$31=AL$4,Check!S359=$AQ$4),AJ138,IF(AND(AG$31=AL$5,Check!S359=$AQ$4),AM138,IF(AND(AG$31=AL$4,Check!S359=$AQ$6),AK138,IF(AND(AG$31=AL$5,Check!S359=$AQ$6),AN138,IF(OR(Check!S359=$AQ$5,AO137=""),AL138,"NB")))))</f>
        <v>NB</v>
      </c>
      <c r="AP138" s="44"/>
      <c r="AQ138" s="44"/>
      <c r="AR138" s="44"/>
      <c r="AS138" s="41"/>
      <c r="AT138" s="41"/>
      <c r="AU138" s="41"/>
      <c r="AV138" s="442"/>
      <c r="AW138" s="44"/>
      <c r="AX138" s="41" t="s">
        <v>1634</v>
      </c>
      <c r="AY138" s="42" t="str">
        <f>IF(AND(AZ148="NB",AZ153="NB",AZ160="NB",AZ173="NB"),"NB",SUM(AZ137:AZ181)/4)</f>
        <v>NB</v>
      </c>
      <c r="AZ138" s="41"/>
      <c r="BA138" s="42"/>
      <c r="BB138" s="577"/>
      <c r="BC138" s="582"/>
      <c r="BD138" s="398"/>
      <c r="BE138" s="579"/>
      <c r="BF138" s="577"/>
      <c r="BG138" s="582"/>
      <c r="BH138" s="398"/>
      <c r="BI138" s="579"/>
      <c r="BJ138" s="138"/>
    </row>
    <row r="139" spans="1:62" ht="15" customHeight="1">
      <c r="A139" s="138"/>
      <c r="B139" s="498"/>
      <c r="C139" s="870" t="str">
        <f>IF(Tool!$H$7="Français",G139,IF(Tool!$H$7="Italiano",I139,E139))</f>
        <v>Besitzt das Gebäude genügend Wärmespeicherkapazität in Form von massiven Materialien bzw. Bauteilschichten angrenzend zum Innenraum, um die auftretenden Temperaturspitzen auszugleichen?</v>
      </c>
      <c r="D139" s="498"/>
      <c r="E139" s="506" t="s">
        <v>787</v>
      </c>
      <c r="F139" s="498"/>
      <c r="G139" s="506" t="s">
        <v>788</v>
      </c>
      <c r="H139" s="500"/>
      <c r="I139" s="500" t="s">
        <v>789</v>
      </c>
      <c r="J139" s="498"/>
      <c r="K139" s="501"/>
      <c r="L139" s="502"/>
      <c r="M139" s="502"/>
      <c r="N139" s="502"/>
      <c r="O139" s="502"/>
      <c r="P139" s="503"/>
      <c r="Q139" s="498"/>
      <c r="R139" s="509"/>
      <c r="S139" s="510"/>
      <c r="T139" s="510"/>
      <c r="U139" s="510"/>
      <c r="V139" s="510"/>
      <c r="W139" s="499"/>
      <c r="X139" s="498"/>
      <c r="Y139" s="509"/>
      <c r="Z139" s="510"/>
      <c r="AA139" s="510"/>
      <c r="AB139" s="510"/>
      <c r="AC139" s="510"/>
      <c r="AD139" s="499"/>
      <c r="AE139" s="138" t="s">
        <v>28</v>
      </c>
      <c r="AF139" s="335"/>
      <c r="AG139" s="340"/>
      <c r="AH139" s="766"/>
      <c r="AI139" s="340"/>
      <c r="AJ139" s="43">
        <f>1/4</f>
        <v>0.25</v>
      </c>
      <c r="AK139" s="43">
        <f t="shared" ref="AK139:AK141" si="21">AJ139*0.3</f>
        <v>7.4999999999999997E-2</v>
      </c>
      <c r="AL139" s="43">
        <v>0</v>
      </c>
      <c r="AM139" s="1224">
        <f>AM$137/4</f>
        <v>0.1875</v>
      </c>
      <c r="AN139" s="1224">
        <f t="shared" ref="AN139:AN141" si="22">AM139*0.3</f>
        <v>5.6249999999999994E-2</v>
      </c>
      <c r="AO139" s="44" t="str">
        <f>IF(AND(AG$31=AL$4,Check!S362=$AQ$4),AJ139,IF(AND(AG$31=AL$5,Check!S362=$AQ$4),AM139,IF(AND(AG$31=AL$4,Check!S362=$AQ$6),AK139,IF(AND(AG$31=AL$5,Check!S362=$AQ$6),AN139,IF(OR(Check!S362=$AQ$5,AO137=""),AL139,"NB")))))</f>
        <v>NB</v>
      </c>
      <c r="AP139" s="44"/>
      <c r="AQ139" s="44"/>
      <c r="AR139" s="44"/>
      <c r="AS139" s="41"/>
      <c r="AT139" s="41"/>
      <c r="AU139" s="41"/>
      <c r="AV139" s="442"/>
      <c r="AW139" s="44"/>
      <c r="AX139" s="41" t="s">
        <v>1647</v>
      </c>
      <c r="AY139" s="42" t="str">
        <f>IF(AND(AZ148="NB",AZ153="NB"),"NB",SUM(AZ137:AZ153)/2)</f>
        <v>NB</v>
      </c>
      <c r="AZ139" s="41"/>
      <c r="BA139" s="42"/>
      <c r="BB139" s="577"/>
      <c r="BC139" s="582"/>
      <c r="BD139" s="398"/>
      <c r="BE139" s="579"/>
      <c r="BF139" s="577"/>
      <c r="BG139" s="582"/>
      <c r="BH139" s="398"/>
      <c r="BI139" s="579"/>
      <c r="BJ139" s="138"/>
    </row>
    <row r="140" spans="1:62" ht="15" customHeight="1">
      <c r="A140" s="138"/>
      <c r="B140" s="498"/>
      <c r="C140" s="870" t="str">
        <f>IF(Tool!$H$7="Français",G140,IF(Tool!$H$7="Italiano",I140,E140))</f>
        <v xml:space="preserve">Ist an heissen Tagen eine Abführung der Wärmelasten aus den Innenräumen möglich (z. B. durch natürliche Nachtauskühlung, Free-Cooling oder Geocooling)? </v>
      </c>
      <c r="D140" s="498"/>
      <c r="E140" s="506" t="s">
        <v>1394</v>
      </c>
      <c r="F140" s="498"/>
      <c r="G140" s="506" t="s">
        <v>1778</v>
      </c>
      <c r="H140" s="500"/>
      <c r="I140" s="500" t="s">
        <v>793</v>
      </c>
      <c r="J140" s="498"/>
      <c r="K140" s="501"/>
      <c r="L140" s="502"/>
      <c r="M140" s="502"/>
      <c r="N140" s="502"/>
      <c r="O140" s="502"/>
      <c r="P140" s="503"/>
      <c r="Q140" s="498"/>
      <c r="R140" s="509"/>
      <c r="S140" s="510"/>
      <c r="T140" s="510"/>
      <c r="U140" s="510"/>
      <c r="V140" s="510"/>
      <c r="W140" s="499"/>
      <c r="X140" s="498"/>
      <c r="Y140" s="509"/>
      <c r="Z140" s="510"/>
      <c r="AA140" s="510"/>
      <c r="AB140" s="510"/>
      <c r="AC140" s="510"/>
      <c r="AD140" s="499"/>
      <c r="AE140" s="138" t="s">
        <v>28</v>
      </c>
      <c r="AF140" s="335"/>
      <c r="AG140" s="340"/>
      <c r="AH140" s="766"/>
      <c r="AI140" s="340"/>
      <c r="AJ140" s="43">
        <f>1/4</f>
        <v>0.25</v>
      </c>
      <c r="AK140" s="43">
        <f t="shared" si="21"/>
        <v>7.4999999999999997E-2</v>
      </c>
      <c r="AL140" s="43">
        <v>0</v>
      </c>
      <c r="AM140" s="1224">
        <f>AM$137/4</f>
        <v>0.1875</v>
      </c>
      <c r="AN140" s="1224">
        <f t="shared" si="22"/>
        <v>5.6249999999999994E-2</v>
      </c>
      <c r="AO140" s="44" t="str">
        <f>IF(AND(AG$31=AL$4,Check!S365=$AQ$4),AJ140,IF(AND(AG$31=AL$5,Check!S365=$AQ$4),AM140,IF(AND(AG$31=AL$4,Check!S365=$AQ$6),AK140,IF(AND(AG$31=AL$5,Check!S365=$AQ$6),AN140,IF(OR(Check!S365=$AQ$5,AO137=""),AL140,"NB")))))</f>
        <v>NB</v>
      </c>
      <c r="AP140" s="44"/>
      <c r="AQ140" s="44"/>
      <c r="AR140" s="44"/>
      <c r="AS140" s="41"/>
      <c r="AT140" s="41"/>
      <c r="AU140" s="41"/>
      <c r="AV140" s="442"/>
      <c r="AW140" s="44"/>
      <c r="AX140" s="41"/>
      <c r="AY140" s="42"/>
      <c r="AZ140" s="41"/>
      <c r="BA140" s="42"/>
      <c r="BB140" s="577"/>
      <c r="BC140" s="582"/>
      <c r="BD140" s="398"/>
      <c r="BE140" s="579"/>
      <c r="BF140" s="577"/>
      <c r="BG140" s="582"/>
      <c r="BH140" s="398"/>
      <c r="BI140" s="579"/>
      <c r="BJ140" s="138"/>
    </row>
    <row r="141" spans="1:62" ht="15" customHeight="1">
      <c r="A141" s="310"/>
      <c r="B141" s="498"/>
      <c r="C141" s="870" t="str">
        <f>IF(Tool!$H$7="Français",G141,IF(Tool!$H$7="Italiano",I141,E141))</f>
        <v>Werden zur Überprüfung der sommerlichen Innentemperaturen Berechnungen oder dynamische Simulationen durchgeführt? (SIA 180 Nachweis Verfahren 2 
oder 3)</v>
      </c>
      <c r="D141" s="498"/>
      <c r="E141" s="506" t="s">
        <v>1931</v>
      </c>
      <c r="F141" s="498"/>
      <c r="G141" s="506" t="s">
        <v>1929</v>
      </c>
      <c r="H141" s="500"/>
      <c r="I141" s="500" t="s">
        <v>1930</v>
      </c>
      <c r="J141" s="498"/>
      <c r="K141" s="501"/>
      <c r="L141" s="502"/>
      <c r="M141" s="502"/>
      <c r="N141" s="502"/>
      <c r="O141" s="502"/>
      <c r="P141" s="503"/>
      <c r="Q141" s="498"/>
      <c r="R141" s="509"/>
      <c r="S141" s="510"/>
      <c r="T141" s="510"/>
      <c r="U141" s="510"/>
      <c r="V141" s="510"/>
      <c r="W141" s="499"/>
      <c r="X141" s="498"/>
      <c r="Y141" s="509"/>
      <c r="Z141" s="510"/>
      <c r="AA141" s="510"/>
      <c r="AB141" s="510"/>
      <c r="AC141" s="510"/>
      <c r="AD141" s="499"/>
      <c r="AE141" s="138" t="s">
        <v>28</v>
      </c>
      <c r="AF141" s="335"/>
      <c r="AG141" s="340"/>
      <c r="AH141" s="766"/>
      <c r="AI141" s="340"/>
      <c r="AJ141" s="43">
        <f>1/4</f>
        <v>0.25</v>
      </c>
      <c r="AK141" s="43">
        <f t="shared" si="21"/>
        <v>7.4999999999999997E-2</v>
      </c>
      <c r="AL141" s="43">
        <v>0</v>
      </c>
      <c r="AM141" s="1224">
        <f>AM$137/4</f>
        <v>0.1875</v>
      </c>
      <c r="AN141" s="1224">
        <f t="shared" si="22"/>
        <v>5.6249999999999994E-2</v>
      </c>
      <c r="AO141" s="44" t="str">
        <f>IF(AND(AG$31=AL$4,Check!S368=$AQ$4),AJ141,IF(AND(AG$31=AL$5,Check!S368=$AQ$4),AM141,IF(AND(AG$31=AL$4,Check!S368=$AQ$6),AK141,IF(AND(AG$31=AL$5,Check!S368=$AQ$6),AN141,IF(OR(Check!S368=$AQ$5,AO137=""),AL141,"NB")))))</f>
        <v>NB</v>
      </c>
      <c r="AP141" s="44"/>
      <c r="AQ141" s="44"/>
      <c r="AR141" s="44"/>
      <c r="AS141" s="41"/>
      <c r="AT141" s="41"/>
      <c r="AU141" s="41"/>
      <c r="AV141" s="442"/>
      <c r="AW141" s="44"/>
      <c r="AX141" s="41"/>
      <c r="AY141" s="42"/>
      <c r="AZ141" s="41"/>
      <c r="BA141" s="42"/>
      <c r="BB141" s="577"/>
      <c r="BC141" s="582"/>
      <c r="BD141" s="398"/>
      <c r="BE141" s="579"/>
      <c r="BF141" s="577"/>
      <c r="BG141" s="582"/>
      <c r="BH141" s="398"/>
      <c r="BI141" s="579"/>
      <c r="BJ141" s="138"/>
    </row>
    <row r="142" spans="1:62" ht="15" customHeight="1">
      <c r="A142" s="138"/>
      <c r="B142" s="498"/>
      <c r="C142" s="870" t="str">
        <f>IF(Tool!$H$7="Français",G142,IF(Tool!$H$7="Italiano",I142,E142))</f>
        <v>Wird beim Sonnenschutzkonzept explizit auch das künftige Klima infolge des Klimawandels mitberücksichtigt? (z. B. durch Simulationen mit Klimadaten der Zukunft)</v>
      </c>
      <c r="D142" s="498"/>
      <c r="E142" s="506" t="s">
        <v>790</v>
      </c>
      <c r="F142" s="498"/>
      <c r="G142" s="506" t="s">
        <v>791</v>
      </c>
      <c r="H142" s="500"/>
      <c r="I142" s="500" t="s">
        <v>792</v>
      </c>
      <c r="J142" s="498"/>
      <c r="K142" s="501"/>
      <c r="L142" s="502"/>
      <c r="M142" s="502"/>
      <c r="N142" s="502"/>
      <c r="O142" s="502"/>
      <c r="P142" s="503"/>
      <c r="Q142" s="498"/>
      <c r="R142" s="509"/>
      <c r="S142" s="510"/>
      <c r="T142" s="510"/>
      <c r="U142" s="510"/>
      <c r="V142" s="510"/>
      <c r="W142" s="499"/>
      <c r="X142" s="498"/>
      <c r="Y142" s="509"/>
      <c r="Z142" s="510"/>
      <c r="AA142" s="510"/>
      <c r="AB142" s="510"/>
      <c r="AC142" s="510"/>
      <c r="AD142" s="499"/>
      <c r="AE142" s="138"/>
      <c r="AF142" s="824">
        <f>AQ31</f>
        <v>142</v>
      </c>
      <c r="AG142" s="818" t="str">
        <f>AR31</f>
        <v>Schadstoffe &amp; Strahlung</v>
      </c>
      <c r="AH142" s="1016"/>
      <c r="AI142" s="768"/>
      <c r="AJ142" s="519">
        <v>1</v>
      </c>
      <c r="AK142" s="519" t="s">
        <v>46</v>
      </c>
      <c r="AL142" s="520">
        <v>0</v>
      </c>
      <c r="AM142" s="1020"/>
      <c r="AN142" s="1020"/>
      <c r="AO142" s="1020" t="str">
        <f>IF(Check!S371=$AQ$4,AJ142,IF(OR(Check!S371=$AQ$5,Check!S371=$AQ$6),AL142,"NB"))</f>
        <v>NB</v>
      </c>
      <c r="AP142" s="1034" t="str">
        <f>IF(OR(AG$40=AQ$4,AG$41=AQ$4),1,"NB")</f>
        <v>NB</v>
      </c>
      <c r="AQ142" s="1020" t="str">
        <f>IF(AP142=1,1,
IF(AO142=1,1,
IF(COUNTIF(AO143:AO147,"NB"),"NB",
IF(SUM(AO143:AO147)&gt;1,1,
IF(AND(SUM(AO143:AO147)&gt;=0,SUM(AO143:AO147)&lt;=1),SUM(AO143:AO147),"NB")))))</f>
        <v>NB</v>
      </c>
      <c r="AR142" s="1020"/>
      <c r="AS142" s="1032" t="str">
        <f>IF(AQ142="NB","NB",AQ142)</f>
        <v>NB</v>
      </c>
      <c r="AT142" s="1022"/>
      <c r="AU142" s="1022"/>
      <c r="AV142" s="1026"/>
      <c r="AW142" s="1020"/>
      <c r="AX142" s="1022"/>
      <c r="AY142" s="1027"/>
      <c r="AZ142" s="1022"/>
      <c r="BA142" s="1027"/>
      <c r="BB142" s="577" t="str">
        <f>IF($AS$142="NB","",
IF($AS$142&gt;=0.85,AF142&amp;" "&amp;AG142&amp;"; ",""))</f>
        <v/>
      </c>
      <c r="BC142" s="582" t="str">
        <f>IF($AS$142="NB","",
IF(AND($AS$142&gt;=0.65,$AS$142&lt;0.85),AF142&amp;" "&amp;AG142&amp;"; ",""))</f>
        <v/>
      </c>
      <c r="BD142" s="398" t="str">
        <f>IF($AS$142="NB","",
IF(AND($AS$142&gt;=0.5,$AS$142&lt;0.65),AF142&amp;" "&amp;AG142&amp;"; ",""))</f>
        <v/>
      </c>
      <c r="BE142" s="579" t="str">
        <f>IF($AS$142="NB","",
IF($AS$142&lt;0.5,AF142&amp;" "&amp;AG142&amp;"; ",""))</f>
        <v/>
      </c>
      <c r="BF142" s="577" t="str">
        <f>IF($AS$142="NB","",
IF($AS$142&gt;=0.85,AF142&amp;" ",""))</f>
        <v/>
      </c>
      <c r="BG142" s="582" t="str">
        <f>IF($AS$142="NB","",
IF(AND($AS$142&gt;=0.65,$AS$142&lt;0.85),AF142&amp;" ",""))</f>
        <v/>
      </c>
      <c r="BH142" s="398" t="str">
        <f>IF($AS$142="NB","",
IF(AND($AS$142&gt;=0.5,$AS$142&lt;0.65),AF142&amp;" ",""))</f>
        <v/>
      </c>
      <c r="BI142" s="579" t="str">
        <f>IF($AS$142="NB","",
IF($AS$142&lt;0.5,AF142&amp;" ",""))</f>
        <v/>
      </c>
      <c r="BJ142" s="138"/>
    </row>
    <row r="143" spans="1:62" ht="15" customHeight="1">
      <c r="A143" s="138"/>
      <c r="B143" s="642" t="str">
        <f>IF(OR(Tool!H$7="Deutsch",Tool!H$7=""),"K144","C144")</f>
        <v>K144</v>
      </c>
      <c r="C143" s="872" t="str">
        <f>IF(Tool!$H$7="Français",G143,IF(Tool!$H$7="Italiano",I143,E143))</f>
        <v>Kann eine effiziente Nachtauskühlung (z. B. durch natürliche Fensterlüftung) ohne negative Auswirkungen auf die Sicherheit (Einbruchschutz), die akustische Behaglichkeit (Lärmbelastung) und die Luftqualität gewährleistet werden?</v>
      </c>
      <c r="D143" s="642" t="str">
        <f>$B143</f>
        <v>K144</v>
      </c>
      <c r="E143" s="641" t="s">
        <v>794</v>
      </c>
      <c r="F143" s="642" t="str">
        <f>$B143</f>
        <v>K144</v>
      </c>
      <c r="G143" s="641" t="s">
        <v>1779</v>
      </c>
      <c r="H143" s="642" t="str">
        <f>$B143</f>
        <v>K144</v>
      </c>
      <c r="I143" s="648" t="s">
        <v>1788</v>
      </c>
      <c r="J143" s="642" t="str">
        <f>$B143</f>
        <v>K144</v>
      </c>
      <c r="K143" s="644"/>
      <c r="L143" s="645"/>
      <c r="M143" s="645"/>
      <c r="N143" s="645"/>
      <c r="O143" s="645"/>
      <c r="P143" s="646"/>
      <c r="Q143" s="642" t="str">
        <f>$B143</f>
        <v>K144</v>
      </c>
      <c r="R143" s="657"/>
      <c r="S143" s="645"/>
      <c r="T143" s="645"/>
      <c r="U143" s="645"/>
      <c r="V143" s="645"/>
      <c r="W143" s="646"/>
      <c r="X143" s="642" t="str">
        <f>$B143</f>
        <v>K144</v>
      </c>
      <c r="Y143" s="657"/>
      <c r="Z143" s="645"/>
      <c r="AA143" s="645"/>
      <c r="AB143" s="645"/>
      <c r="AC143" s="645"/>
      <c r="AD143" s="646"/>
      <c r="AE143" s="138"/>
      <c r="AF143" s="335"/>
      <c r="AG143" s="340"/>
      <c r="AH143" s="766"/>
      <c r="AI143" s="340"/>
      <c r="AJ143" s="43">
        <f>1/5</f>
        <v>0.2</v>
      </c>
      <c r="AK143" s="43">
        <f>AJ143*0.3</f>
        <v>0.06</v>
      </c>
      <c r="AL143" s="43">
        <v>0</v>
      </c>
      <c r="AM143" s="44"/>
      <c r="AN143" s="44"/>
      <c r="AO143" s="44" t="str">
        <f>IF(Check!S374=$AQ$4,AJ143,IF(Check!S374=$AQ$6,AK143,IF(OR(Check!S374=$AQ$5,AO142=""),AL143,"NB")))</f>
        <v>NB</v>
      </c>
      <c r="AP143" s="44"/>
      <c r="AQ143" s="44"/>
      <c r="AR143" s="44"/>
      <c r="AS143" s="41"/>
      <c r="AT143" s="41"/>
      <c r="AU143" s="41"/>
      <c r="AV143" s="442"/>
      <c r="AW143" s="44"/>
      <c r="AX143" s="41"/>
      <c r="AY143" s="42"/>
      <c r="AZ143" s="41"/>
      <c r="BA143" s="42"/>
      <c r="BB143" s="577"/>
      <c r="BC143" s="582"/>
      <c r="BD143" s="398"/>
      <c r="BE143" s="579"/>
      <c r="BF143" s="577"/>
      <c r="BG143" s="582"/>
      <c r="BH143" s="398"/>
      <c r="BI143" s="579"/>
      <c r="BJ143" s="138"/>
    </row>
    <row r="144" spans="1:62" ht="15" customHeight="1">
      <c r="A144" s="138"/>
      <c r="B144" s="642"/>
      <c r="C144" s="872" t="str">
        <f>IF(Tool!$H$7="Français",G144,IF(Tool!$H$7="Italiano",I144,E144))</f>
        <v>Ermöglicht das Bauvorhaben eine uneingeschränkte Nachtauskühlung (z. B. durch natürliche Fensterlüftung) ohne bedeutende Beeinträchtigung der akustischen Behaglichkeit?</v>
      </c>
      <c r="D144" s="642"/>
      <c r="E144" s="641" t="str">
        <f>IF(OR(AG26=AG6,AG26=AG7),M144,"Ermöglicht das Bauvorhaben eine uneingeschränkte Nachtauskühlung (z. B. durch natürliche Fensterlüftung) ohne bedeutende Beeinträchtigung der akustischen Behaglichkeit?")</f>
        <v>Ermöglicht das Bauvorhaben eine uneingeschränkte Nachtauskühlung (z. B. durch natürliche Fensterlüftung) ohne bedeutende Beeinträchtigung der akustischen Behaglichkeit?</v>
      </c>
      <c r="F144" s="642"/>
      <c r="G144" s="641" t="str">
        <f>IF(OR(AG26=AG6,AG26=AG7),T144,"Un important refroidissement du bâtiment de nuit (p. ex. ventilation naturelle par la fenêtre) est-il possible en été sans impact négatif sur le confort acoustique ?")</f>
        <v>Un important refroidissement du bâtiment de nuit (p. ex. ventilation naturelle par la fenêtre) est-il possible en été sans impact négatif sur le confort acoustique ?</v>
      </c>
      <c r="H144" s="648"/>
      <c r="I144" s="648" t="str">
        <f>IF(OR(AG26=AG6,AG26=AG7),AA144,"Il progetto di costruzione consente un raffrescamento notturno illimitato (ad e., ventilazione naturale delle finestre) senza compromettere in modo significativo il comfort acustico?")</f>
        <v>Il progetto di costruzione consente un raffrescamento notturno illimitato (ad e., ventilazione naturale delle finestre) senza compromettere in modo significativo il comfort acustico?</v>
      </c>
      <c r="J144" s="642"/>
      <c r="K144" s="644"/>
      <c r="L144" s="645"/>
      <c r="M144" s="645" t="s">
        <v>796</v>
      </c>
      <c r="N144" s="645"/>
      <c r="O144" s="645"/>
      <c r="P144" s="646"/>
      <c r="Q144" s="642"/>
      <c r="R144" s="657"/>
      <c r="S144" s="645"/>
      <c r="T144" s="645" t="s">
        <v>797</v>
      </c>
      <c r="U144" s="645"/>
      <c r="V144" s="645"/>
      <c r="W144" s="646"/>
      <c r="X144" s="642"/>
      <c r="Y144" s="657"/>
      <c r="Z144" s="645"/>
      <c r="AA144" s="645" t="s">
        <v>795</v>
      </c>
      <c r="AB144" s="645"/>
      <c r="AC144" s="645"/>
      <c r="AD144" s="646"/>
      <c r="AE144" s="138"/>
      <c r="AF144" s="335"/>
      <c r="AG144" s="340"/>
      <c r="AH144" s="766"/>
      <c r="AI144" s="340"/>
      <c r="AJ144" s="43">
        <f>1/5</f>
        <v>0.2</v>
      </c>
      <c r="AK144" s="43">
        <f t="shared" ref="AK144:AK147" si="23">AJ144*0.3</f>
        <v>0.06</v>
      </c>
      <c r="AL144" s="43">
        <v>0</v>
      </c>
      <c r="AM144" s="44"/>
      <c r="AN144" s="44"/>
      <c r="AO144" s="44" t="str">
        <f>IF(Check!S377=$AQ$4,AJ144,IF(Check!S377=$AQ$6,AK144,IF(OR(Check!S377=$AQ$5,AO142=""),AL144,"NB")))</f>
        <v>NB</v>
      </c>
      <c r="AP144" s="44"/>
      <c r="AQ144" s="44"/>
      <c r="AR144" s="44"/>
      <c r="AS144" s="41"/>
      <c r="AT144" s="41"/>
      <c r="AU144" s="41"/>
      <c r="AV144" s="442"/>
      <c r="AW144" s="44"/>
      <c r="AX144" s="41"/>
      <c r="AY144" s="42"/>
      <c r="AZ144" s="41"/>
      <c r="BA144" s="42"/>
      <c r="BB144" s="577"/>
      <c r="BC144" s="582"/>
      <c r="BD144" s="398"/>
      <c r="BE144" s="579"/>
      <c r="BF144" s="577"/>
      <c r="BG144" s="582"/>
      <c r="BH144" s="398"/>
      <c r="BI144" s="579"/>
      <c r="BJ144" s="138"/>
    </row>
    <row r="145" spans="1:62" ht="15" customHeight="1">
      <c r="A145" s="138"/>
      <c r="B145" s="642"/>
      <c r="C145" s="872" t="str">
        <f>IF(Tool!$H$7="Français",G145,IF(Tool!$H$7="Italiano",I145,E145))</f>
        <v>Ermöglicht das Bauvorhaben eine uneingeschränkte Nachtauskühlung ohne bedeutende Beeinträchtigung der Luftqualität?</v>
      </c>
      <c r="D145" s="642"/>
      <c r="E145" s="641" t="s">
        <v>455</v>
      </c>
      <c r="F145" s="642"/>
      <c r="G145" s="641" t="s">
        <v>473</v>
      </c>
      <c r="H145" s="648"/>
      <c r="I145" s="648" t="s">
        <v>1789</v>
      </c>
      <c r="J145" s="642"/>
      <c r="K145" s="644"/>
      <c r="L145" s="645"/>
      <c r="M145" s="645"/>
      <c r="N145" s="645"/>
      <c r="O145" s="645"/>
      <c r="P145" s="646"/>
      <c r="Q145" s="642"/>
      <c r="R145" s="657"/>
      <c r="S145" s="645"/>
      <c r="T145" s="645"/>
      <c r="U145" s="645"/>
      <c r="V145" s="645"/>
      <c r="W145" s="646"/>
      <c r="X145" s="642"/>
      <c r="Y145" s="657"/>
      <c r="Z145" s="645"/>
      <c r="AA145" s="645"/>
      <c r="AB145" s="645"/>
      <c r="AC145" s="645"/>
      <c r="AD145" s="646"/>
      <c r="AE145" s="138"/>
      <c r="AF145" s="335"/>
      <c r="AG145" s="340"/>
      <c r="AH145" s="766"/>
      <c r="AI145" s="340"/>
      <c r="AJ145" s="43">
        <f>1/5</f>
        <v>0.2</v>
      </c>
      <c r="AK145" s="43">
        <f t="shared" si="23"/>
        <v>0.06</v>
      </c>
      <c r="AL145" s="43">
        <v>0</v>
      </c>
      <c r="AM145" s="44"/>
      <c r="AN145" s="44"/>
      <c r="AO145" s="44" t="str">
        <f>IF(Check!S380=$AQ$4,AJ145,IF(Check!S380=$AQ$6,AK145,IF(OR(Check!S380=$AQ$5,AO142=""),AL145,"NB")))</f>
        <v>NB</v>
      </c>
      <c r="AP145" s="44"/>
      <c r="AQ145" s="44"/>
      <c r="AR145" s="44"/>
      <c r="AS145" s="41"/>
      <c r="AT145" s="41"/>
      <c r="AU145" s="41"/>
      <c r="AV145" s="442"/>
      <c r="AW145" s="44"/>
      <c r="AX145" s="41"/>
      <c r="AY145" s="42"/>
      <c r="AZ145" s="41"/>
      <c r="BA145" s="42"/>
      <c r="BB145" s="577"/>
      <c r="BC145" s="582"/>
      <c r="BD145" s="398"/>
      <c r="BE145" s="579"/>
      <c r="BF145" s="577"/>
      <c r="BG145" s="582"/>
      <c r="BH145" s="398"/>
      <c r="BI145" s="579"/>
      <c r="BJ145" s="138"/>
    </row>
    <row r="146" spans="1:62" ht="15" customHeight="1">
      <c r="A146" s="138"/>
      <c r="B146" s="642"/>
      <c r="C146" s="872" t="str">
        <f>IF(Tool!$H$7="Français",G146,IF(Tool!$H$7="Italiano",I146,E146))</f>
        <v>Ermöglicht das Bauvorhaben eine uneingeschränkte Nachtauskühlung (z. B. durch natürliche Fensterlüftung) bei dennoch hohem Einbruchschutz?</v>
      </c>
      <c r="D146" s="642"/>
      <c r="E146" s="641" t="str">
        <f>IF(OR(AG26=AG6,AG26=AG7),M146,"Ermöglicht das Bauvorhaben eine uneingeschränkte Nachtauskühlung (z. B. durch natürliche Fensterlüftung) bei dennoch hohem Einbruchschutz?")</f>
        <v>Ermöglicht das Bauvorhaben eine uneingeschränkte Nachtauskühlung (z. B. durch natürliche Fensterlüftung) bei dennoch hohem Einbruchschutz?</v>
      </c>
      <c r="F146" s="642"/>
      <c r="G146" s="641" t="str">
        <f>IF(OR(AG26=AG6,AG26=AG7),T146,"Un important refroidissement du bâtiment en été (p. ex. ventilation naturelle par les fenêtres) est-il possible de nuit sans risque d'intrusion ?")</f>
        <v>Un important refroidissement du bâtiment en été (p. ex. ventilation naturelle par les fenêtres) est-il possible de nuit sans risque d'intrusion ?</v>
      </c>
      <c r="H146" s="648"/>
      <c r="I146" s="648" t="str">
        <f>IF(OR(AG26=AG6,AG26=AG7),AA146,"Il progetto di costruzione consente un raffrescamento notturno illimitato (ad e., ventilazione naturale delle finestre) pur garantendo un elevato livello di protezione contro le effrazioni?")</f>
        <v>Il progetto di costruzione consente un raffrescamento notturno illimitato (ad e., ventilazione naturale delle finestre) pur garantendo un elevato livello di protezione contro le effrazioni?</v>
      </c>
      <c r="J146" s="642"/>
      <c r="K146" s="644"/>
      <c r="L146" s="645"/>
      <c r="M146" s="645" t="s">
        <v>799</v>
      </c>
      <c r="N146" s="645"/>
      <c r="O146" s="645"/>
      <c r="P146" s="646"/>
      <c r="Q146" s="642"/>
      <c r="R146" s="657"/>
      <c r="S146" s="645"/>
      <c r="T146" s="645" t="s">
        <v>800</v>
      </c>
      <c r="U146" s="645"/>
      <c r="V146" s="645"/>
      <c r="W146" s="646"/>
      <c r="X146" s="642"/>
      <c r="Y146" s="657"/>
      <c r="Z146" s="645"/>
      <c r="AA146" s="645" t="s">
        <v>798</v>
      </c>
      <c r="AB146" s="645"/>
      <c r="AC146" s="645"/>
      <c r="AD146" s="646"/>
      <c r="AE146" s="138" t="s">
        <v>28</v>
      </c>
      <c r="AF146" s="335"/>
      <c r="AG146" s="340"/>
      <c r="AH146" s="766"/>
      <c r="AI146" s="340"/>
      <c r="AJ146" s="43">
        <f>1/5</f>
        <v>0.2</v>
      </c>
      <c r="AK146" s="43">
        <f t="shared" si="23"/>
        <v>0.06</v>
      </c>
      <c r="AL146" s="43">
        <v>0</v>
      </c>
      <c r="AM146" s="44"/>
      <c r="AN146" s="44"/>
      <c r="AO146" s="44" t="str">
        <f>IF(Check!S383=$AQ$4,AJ146,IF(Check!S383=$AQ$6,AK146,IF(OR(Check!S383=$AQ$5,AO142=""),AL146,"NB")))</f>
        <v>NB</v>
      </c>
      <c r="AP146" s="44"/>
      <c r="AQ146" s="44"/>
      <c r="AR146" s="44"/>
      <c r="AS146" s="41"/>
      <c r="AT146" s="41"/>
      <c r="AU146" s="41"/>
      <c r="AV146" s="442"/>
      <c r="AW146" s="44"/>
      <c r="AX146" s="41"/>
      <c r="AY146" s="42"/>
      <c r="AZ146" s="41"/>
      <c r="BA146" s="42"/>
      <c r="BB146" s="577"/>
      <c r="BC146" s="582"/>
      <c r="BD146" s="398"/>
      <c r="BE146" s="579"/>
      <c r="BF146" s="577"/>
      <c r="BG146" s="582"/>
      <c r="BH146" s="398"/>
      <c r="BI146" s="579"/>
      <c r="BJ146" s="138"/>
    </row>
    <row r="147" spans="1:62" ht="15" customHeight="1">
      <c r="A147" s="138"/>
      <c r="B147" s="498">
        <v>145</v>
      </c>
      <c r="C147" s="870" t="str">
        <f>IF(Tool!$H$7="Français",G147,IF(Tool!$H$7="Italiano",I147,E147))</f>
        <v>Werden die Anforderungen der MuKEn 2014 bezüglich dem Heizwärmebedarf um mindestens 30 % unterschritten (entspricht Minergie-P Standard) und wird die Behaglichkeit im Winter gemäss SIA 180 nachgewiesen?</v>
      </c>
      <c r="D147" s="498">
        <f>$B147</f>
        <v>145</v>
      </c>
      <c r="E147" s="506" t="s">
        <v>1074</v>
      </c>
      <c r="F147" s="498">
        <f>$B147</f>
        <v>145</v>
      </c>
      <c r="G147" s="506" t="s">
        <v>1075</v>
      </c>
      <c r="H147" s="498">
        <f>$B147</f>
        <v>145</v>
      </c>
      <c r="I147" s="925" t="s">
        <v>1076</v>
      </c>
      <c r="J147" s="498">
        <f>$B147</f>
        <v>145</v>
      </c>
      <c r="K147" s="501"/>
      <c r="L147" s="502"/>
      <c r="M147" s="502"/>
      <c r="N147" s="502"/>
      <c r="O147" s="502"/>
      <c r="P147" s="503"/>
      <c r="Q147" s="498">
        <f>$B147</f>
        <v>145</v>
      </c>
      <c r="R147" s="509"/>
      <c r="S147" s="510"/>
      <c r="T147" s="510"/>
      <c r="U147" s="510"/>
      <c r="V147" s="510"/>
      <c r="W147" s="499"/>
      <c r="X147" s="498">
        <f>$B147</f>
        <v>145</v>
      </c>
      <c r="Y147" s="509"/>
      <c r="Z147" s="510"/>
      <c r="AA147" s="510"/>
      <c r="AB147" s="510"/>
      <c r="AC147" s="510"/>
      <c r="AD147" s="499"/>
      <c r="AE147" s="138"/>
      <c r="AF147" s="335"/>
      <c r="AG147" s="340"/>
      <c r="AH147" s="766"/>
      <c r="AI147" s="340"/>
      <c r="AJ147" s="43">
        <f>1/5</f>
        <v>0.2</v>
      </c>
      <c r="AK147" s="43">
        <f t="shared" si="23"/>
        <v>0.06</v>
      </c>
      <c r="AL147" s="43">
        <v>0</v>
      </c>
      <c r="AM147" s="44"/>
      <c r="AN147" s="44"/>
      <c r="AO147" s="44" t="str">
        <f>IF(Check!S386=$AQ$4,AJ147,IF(Check!S386=$AQ$6,AK147,IF(OR(Check!S386=$AQ$5,AO142=""),AL147,"NB")))</f>
        <v>NB</v>
      </c>
      <c r="AP147" s="44"/>
      <c r="AQ147" s="44"/>
      <c r="AR147" s="44"/>
      <c r="AS147" s="41"/>
      <c r="AT147" s="41"/>
      <c r="AU147" s="41"/>
      <c r="AV147" s="442"/>
      <c r="AW147" s="44"/>
      <c r="AX147" s="41"/>
      <c r="AY147" s="42"/>
      <c r="AZ147" s="41"/>
      <c r="BA147" s="42"/>
      <c r="BB147" s="577"/>
      <c r="BC147" s="582"/>
      <c r="BD147" s="398"/>
      <c r="BE147" s="579"/>
      <c r="BF147" s="577"/>
      <c r="BG147" s="582"/>
      <c r="BH147" s="398"/>
      <c r="BI147" s="579"/>
      <c r="BJ147" s="138"/>
    </row>
    <row r="148" spans="1:62" ht="15" customHeight="1">
      <c r="A148" s="138"/>
      <c r="B148" s="498"/>
      <c r="C148" s="870" t="str">
        <f>IF(Tool!$H$7="Français",G148,IF(Tool!$H$7="Italiano",I148,E148))</f>
        <v>Werden ausschliesslich Fenster mit 3-fach-Verglasungen vorgesehen?</v>
      </c>
      <c r="D148" s="498"/>
      <c r="E148" s="506" t="s">
        <v>492</v>
      </c>
      <c r="F148" s="498"/>
      <c r="G148" s="506" t="s">
        <v>801</v>
      </c>
      <c r="H148" s="500"/>
      <c r="I148" s="500" t="s">
        <v>802</v>
      </c>
      <c r="J148" s="498"/>
      <c r="K148" s="501"/>
      <c r="L148" s="502"/>
      <c r="M148" s="502"/>
      <c r="N148" s="502"/>
      <c r="O148" s="502"/>
      <c r="P148" s="503"/>
      <c r="Q148" s="498"/>
      <c r="R148" s="509"/>
      <c r="S148" s="510"/>
      <c r="T148" s="510"/>
      <c r="U148" s="510"/>
      <c r="V148" s="510"/>
      <c r="W148" s="499"/>
      <c r="X148" s="498"/>
      <c r="Y148" s="509"/>
      <c r="Z148" s="510"/>
      <c r="AA148" s="510"/>
      <c r="AB148" s="510"/>
      <c r="AC148" s="510"/>
      <c r="AD148" s="499"/>
      <c r="AE148" s="138"/>
      <c r="AF148" s="824">
        <f>AQ32</f>
        <v>143</v>
      </c>
      <c r="AG148" s="818" t="str">
        <f>AR32</f>
        <v>Mikroklima</v>
      </c>
      <c r="AH148" s="1016"/>
      <c r="AI148" s="768"/>
      <c r="AJ148" s="519">
        <v>1</v>
      </c>
      <c r="AK148" s="519" t="s">
        <v>46</v>
      </c>
      <c r="AL148" s="520">
        <v>0</v>
      </c>
      <c r="AM148" s="1020"/>
      <c r="AN148" s="1020"/>
      <c r="AO148" s="1020" t="str">
        <f>IF(Check!S$84=AQ$5,0,IF(Check!S389=$AQ$4,AJ148,IF(OR(Check!S389=$AQ$6,Check!S389=$AQ$5,),AL148,"NB")))</f>
        <v>NB</v>
      </c>
      <c r="AP148" s="1034"/>
      <c r="AQ148" s="1020" t="str">
        <f>IF(AP148=1,1,
IF(AO148=1,1,
IF(COUNTIF(AO149:AO152,"NB"),"NB",
IF(SUM(AO149:AO152)&gt;1,1,
IF(AND(SUM(AO149:AO152)&gt;=0,SUM(AO149:AO152)&lt;=1),SUM(AO149:AO152),"NB")))))</f>
        <v>NB</v>
      </c>
      <c r="AR148" s="1020"/>
      <c r="AS148" s="1032" t="str">
        <f>IF(AQ148="NB","NB",AQ148)</f>
        <v>NB</v>
      </c>
      <c r="AT148" s="1022"/>
      <c r="AU148" s="1022"/>
      <c r="AV148" s="701"/>
      <c r="AW148" s="1492" t="str">
        <f>AS148</f>
        <v>NB</v>
      </c>
      <c r="AX148" s="655"/>
      <c r="AY148" s="1491"/>
      <c r="AZ148" s="1022" t="str">
        <f>AW148</f>
        <v>NB</v>
      </c>
      <c r="BA148" s="1027"/>
      <c r="BB148" s="577" t="str">
        <f>IF($AS$148="NB","",
IF($AS$148&gt;=0.85,AF148&amp;" "&amp;AG148&amp;"; ",""))</f>
        <v/>
      </c>
      <c r="BC148" s="582" t="str">
        <f>IF($AS$148="NB","",
IF(AND($AS$148&gt;=0.65,$AS$148&lt;0.85),AF148&amp;" "&amp;AG148&amp;"; ",""))</f>
        <v/>
      </c>
      <c r="BD148" s="398" t="str">
        <f>IF($AS$148="NB","",
IF(AND($AS$148&gt;=0.5,$AS$148&lt;0.65),AF148&amp;" "&amp;AG148&amp;"; ",""))</f>
        <v/>
      </c>
      <c r="BE148" s="579" t="str">
        <f>IF($AS$148="NB","",
IF($AS$148&lt;0.5,AF148&amp;" "&amp;AG148&amp;"; ",""))</f>
        <v/>
      </c>
      <c r="BF148" s="577" t="str">
        <f>IF($AS$148="NB","",
IF($AS$148&gt;=0.85,AF148&amp;" ",""))</f>
        <v/>
      </c>
      <c r="BG148" s="582" t="str">
        <f>IF($AS$148="NB","",
IF(AND($AS$148&gt;=0.65,$AS$148&lt;0.85),AF148&amp;" ",""))</f>
        <v/>
      </c>
      <c r="BH148" s="398" t="str">
        <f>IF($AS$148="NB","",
IF(AND($AS$148&gt;=0.5,$AS$148&lt;0.65),AF148&amp;" ",""))</f>
        <v/>
      </c>
      <c r="BI148" s="579" t="str">
        <f>IF($AS$148="NB","",
IF($AS$148&lt;0.5,AF148&amp;" ",""))</f>
        <v/>
      </c>
      <c r="BJ148" s="138"/>
    </row>
    <row r="149" spans="1:62" ht="15" customHeight="1">
      <c r="A149" s="138"/>
      <c r="B149" s="498"/>
      <c r="C149" s="870" t="str">
        <f>IF(Tool!$H$7="Français",G149,IF(Tool!$H$7="Italiano",I149,E149))</f>
        <v>Sind keine raumhohen Verglasungen vorhanden oder werden bei raumhohen Verglasungen die Komfortanforderungen bezüglich Kaltluftabfall eingehalten?</v>
      </c>
      <c r="D149" s="498"/>
      <c r="E149" s="506" t="s">
        <v>803</v>
      </c>
      <c r="F149" s="498"/>
      <c r="G149" s="506" t="s">
        <v>804</v>
      </c>
      <c r="H149" s="500"/>
      <c r="I149" s="500" t="s">
        <v>1790</v>
      </c>
      <c r="J149" s="498"/>
      <c r="K149" s="501"/>
      <c r="L149" s="502"/>
      <c r="M149" s="502"/>
      <c r="N149" s="502"/>
      <c r="O149" s="502"/>
      <c r="P149" s="503"/>
      <c r="Q149" s="498"/>
      <c r="R149" s="509"/>
      <c r="S149" s="510"/>
      <c r="T149" s="510"/>
      <c r="U149" s="510"/>
      <c r="V149" s="510"/>
      <c r="W149" s="499"/>
      <c r="X149" s="498"/>
      <c r="Y149" s="509"/>
      <c r="Z149" s="510"/>
      <c r="AA149" s="510"/>
      <c r="AB149" s="510"/>
      <c r="AC149" s="510"/>
      <c r="AD149" s="499"/>
      <c r="AE149" s="138"/>
      <c r="AF149" s="335"/>
      <c r="AG149" s="340"/>
      <c r="AH149" s="766"/>
      <c r="AI149" s="340"/>
      <c r="AJ149" s="43">
        <f>1/4</f>
        <v>0.25</v>
      </c>
      <c r="AK149" s="43">
        <f>AJ149*0.3</f>
        <v>7.4999999999999997E-2</v>
      </c>
      <c r="AL149" s="43">
        <v>0</v>
      </c>
      <c r="AM149" s="44"/>
      <c r="AN149" s="44"/>
      <c r="AO149" s="44" t="str">
        <f>IF(Check!S$84=AQ$5,0,IF(Check!S392=$AQ$4,AJ149,IF(Check!S392=$AQ$6,AK149,IF(OR(Check!S392=$AQ$5,AO148=""),AL149,"NB"))))</f>
        <v>NB</v>
      </c>
      <c r="AP149" s="44"/>
      <c r="AQ149" s="44"/>
      <c r="AR149" s="44"/>
      <c r="AS149" s="41"/>
      <c r="AT149" s="41"/>
      <c r="AU149" s="41"/>
      <c r="AV149" s="442"/>
      <c r="AW149" s="44"/>
      <c r="AX149" s="41"/>
      <c r="AY149" s="42"/>
      <c r="AZ149" s="41"/>
      <c r="BA149" s="42"/>
      <c r="BB149" s="577"/>
      <c r="BC149" s="582"/>
      <c r="BD149" s="398"/>
      <c r="BE149" s="579"/>
      <c r="BF149" s="577"/>
      <c r="BG149" s="582"/>
      <c r="BH149" s="398"/>
      <c r="BI149" s="579"/>
      <c r="BJ149" s="138"/>
    </row>
    <row r="150" spans="1:62" ht="15" customHeight="1">
      <c r="A150" s="138"/>
      <c r="B150" s="498"/>
      <c r="C150" s="870" t="str">
        <f>IF(Tool!$H$7="Français",G150,IF(Tool!$H$7="Italiano",I150,E150))</f>
        <v>Wird der Boden gegen unbeheizte Räume oder gegen das Erdreich konsequent und gut gedämmt? (Einhaltung der U-Werte der Einzelbauteile um 
10 % besser als die Anforderungen des kantonalen Energiegesetzes)</v>
      </c>
      <c r="D150" s="498"/>
      <c r="E150" s="506" t="s">
        <v>1399</v>
      </c>
      <c r="F150" s="498"/>
      <c r="G150" s="506" t="s">
        <v>805</v>
      </c>
      <c r="H150" s="500"/>
      <c r="I150" s="500" t="s">
        <v>1791</v>
      </c>
      <c r="J150" s="498"/>
      <c r="K150" s="501"/>
      <c r="L150" s="502"/>
      <c r="M150" s="502"/>
      <c r="N150" s="502"/>
      <c r="O150" s="502"/>
      <c r="P150" s="503"/>
      <c r="Q150" s="498"/>
      <c r="R150" s="509"/>
      <c r="S150" s="510"/>
      <c r="T150" s="510"/>
      <c r="U150" s="510"/>
      <c r="V150" s="510"/>
      <c r="W150" s="499"/>
      <c r="X150" s="498"/>
      <c r="Y150" s="509"/>
      <c r="Z150" s="510"/>
      <c r="AA150" s="510"/>
      <c r="AB150" s="510"/>
      <c r="AC150" s="510"/>
      <c r="AD150" s="499"/>
      <c r="AE150" s="138"/>
      <c r="AF150" s="335"/>
      <c r="AG150" s="340"/>
      <c r="AH150" s="766"/>
      <c r="AI150" s="340"/>
      <c r="AJ150" s="43">
        <f>1/4</f>
        <v>0.25</v>
      </c>
      <c r="AK150" s="43">
        <f t="shared" ref="AK150:AK152" si="24">AJ150*0.3</f>
        <v>7.4999999999999997E-2</v>
      </c>
      <c r="AL150" s="43">
        <v>0</v>
      </c>
      <c r="AM150" s="44"/>
      <c r="AN150" s="44"/>
      <c r="AO150" s="44" t="str">
        <f>IF(Check!S$84=AQ$5,0,IF(Check!S395=$AQ$4,AJ150,IF(Check!S395=$AQ$6,AK150,IF(OR(Check!S395=$AQ$5,AO148=""),AL150,"NB"))))</f>
        <v>NB</v>
      </c>
      <c r="AP150" s="44"/>
      <c r="AQ150" s="44"/>
      <c r="AR150" s="44"/>
      <c r="AS150" s="41"/>
      <c r="AT150" s="41"/>
      <c r="AU150" s="41"/>
      <c r="AV150" s="442"/>
      <c r="AW150" s="44"/>
      <c r="AX150" s="41"/>
      <c r="AY150" s="42"/>
      <c r="AZ150" s="41"/>
      <c r="BA150" s="42"/>
      <c r="BB150" s="577"/>
      <c r="BC150" s="582"/>
      <c r="BD150" s="398"/>
      <c r="BE150" s="579"/>
      <c r="BF150" s="577"/>
      <c r="BG150" s="582"/>
      <c r="BH150" s="398"/>
      <c r="BI150" s="579"/>
      <c r="BJ150" s="138"/>
    </row>
    <row r="151" spans="1:62" ht="15" customHeight="1">
      <c r="A151" s="138"/>
      <c r="B151" s="498"/>
      <c r="C151" s="870" t="str">
        <f>IF(Tool!$H$7="Français",G151,IF(Tool!$H$7="Italiano",I151,E151))</f>
        <v xml:space="preserve">Soll die Luftdichtheit der thermischen Gebäudehülle mittels Luftdichtheitsmessung nachgewiesen werden? </v>
      </c>
      <c r="D151" s="498"/>
      <c r="E151" s="506" t="str">
        <f>IF(OR(AG$25=AF$6,AG$25=AF$7),K151,"Soll die Luftdichtheit der thermischen Gebäudehülle mittels Luftdichtheitsmessung nachgewiesen werden? ")</f>
        <v xml:space="preserve">Soll die Luftdichtheit der thermischen Gebäudehülle mittels Luftdichtheitsmessung nachgewiesen werden? </v>
      </c>
      <c r="F151" s="498"/>
      <c r="G151" s="506" t="str">
        <f>IF(OR(AG$25=AF$6,AG$25=AF$7),R151,"L'étanchéité à l'air de l'enveloppe thermique du bâtiment doit-elle être prouvée au moyen d'une mesure d'étanchéité à l'air ? ")</f>
        <v xml:space="preserve">L'étanchéité à l'air de l'enveloppe thermique du bâtiment doit-elle être prouvée au moyen d'une mesure d'étanchéité à l'air ? </v>
      </c>
      <c r="H151" s="500"/>
      <c r="I151" s="500" t="str">
        <f>IF(OR(AG$25=AF$6,AG$25=AF$7),Y151,"L'ermeticità dell'involucro termico dell'edificio deve essere verificata mediante una misurazione dell'ermeticità?")</f>
        <v>L'ermeticità dell'involucro termico dell'edificio deve essere verificata mediante una misurazione dell'ermeticità?</v>
      </c>
      <c r="J151" s="498"/>
      <c r="K151" s="501" t="s">
        <v>806</v>
      </c>
      <c r="L151" s="502"/>
      <c r="M151" s="502"/>
      <c r="N151" s="502"/>
      <c r="O151" s="502"/>
      <c r="P151" s="503"/>
      <c r="Q151" s="498"/>
      <c r="R151" s="509" t="s">
        <v>808</v>
      </c>
      <c r="S151" s="510"/>
      <c r="T151" s="510"/>
      <c r="U151" s="510"/>
      <c r="V151" s="510"/>
      <c r="W151" s="499"/>
      <c r="X151" s="498"/>
      <c r="Y151" s="509" t="s">
        <v>807</v>
      </c>
      <c r="Z151" s="510"/>
      <c r="AA151" s="510"/>
      <c r="AB151" s="510"/>
      <c r="AC151" s="510"/>
      <c r="AD151" s="499"/>
      <c r="AE151" s="138"/>
      <c r="AF151" s="335"/>
      <c r="AG151" s="340"/>
      <c r="AH151" s="766"/>
      <c r="AI151" s="340"/>
      <c r="AJ151" s="1024">
        <f>1/4</f>
        <v>0.25</v>
      </c>
      <c r="AK151" s="43">
        <f t="shared" si="24"/>
        <v>7.4999999999999997E-2</v>
      </c>
      <c r="AL151" s="43">
        <v>0</v>
      </c>
      <c r="AM151" s="44"/>
      <c r="AN151" s="44"/>
      <c r="AO151" s="44" t="str">
        <f>IF(Check!S$84=AQ$5,0,IF(Check!S398=$AQ$4,AJ151,IF(Check!S398=$AQ$6,AK151,IF(OR(Check!S398=$AQ$5,AO148=""),AL151,"NB"))))</f>
        <v>NB</v>
      </c>
      <c r="AP151" s="44"/>
      <c r="AQ151" s="44"/>
      <c r="AR151" s="44"/>
      <c r="AS151" s="41"/>
      <c r="AT151" s="41"/>
      <c r="AU151" s="41"/>
      <c r="AV151" s="442"/>
      <c r="AW151" s="44"/>
      <c r="AX151" s="41"/>
      <c r="AY151" s="42"/>
      <c r="AZ151" s="41"/>
      <c r="BA151" s="42"/>
      <c r="BB151" s="577"/>
      <c r="BC151" s="582"/>
      <c r="BD151" s="398"/>
      <c r="BE151" s="579"/>
      <c r="BF151" s="577"/>
      <c r="BG151" s="582"/>
      <c r="BH151" s="398"/>
      <c r="BI151" s="579"/>
      <c r="BJ151" s="138"/>
    </row>
    <row r="152" spans="1:62" ht="15" customHeight="1">
      <c r="A152" s="138"/>
      <c r="B152" s="498">
        <v>146</v>
      </c>
      <c r="C152" s="870" t="str">
        <f>IF(Tool!$H$7="Français",G152,IF(Tool!$H$7="Italiano",I152,E152))</f>
        <v>Bestehen in allen Hauptnutzungsräumen des Gebäudes gute Tageslichtverhältnisse und werden diese mit expliziten Tools nachgewiesen? (z. B. Minergie-ECO)</v>
      </c>
      <c r="D152" s="498">
        <f>$B152</f>
        <v>146</v>
      </c>
      <c r="E152" s="506" t="str">
        <f>IF(OR(AG$25=AF$6,AG$25=AF$7),K152,"Bestehen in allen Hauptnutzungsräumen des Gebäudes gute Tageslichtverhältnisse und werden diese mit expliziten Tools nachgewiesen? (z. B. Minergie-ECO)")</f>
        <v>Bestehen in allen Hauptnutzungsräumen des Gebäudes gute Tageslichtverhältnisse und werden diese mit expliziten Tools nachgewiesen? (z. B. Minergie-ECO)</v>
      </c>
      <c r="F152" s="498">
        <f>$B152</f>
        <v>146</v>
      </c>
      <c r="G152" s="506" t="str">
        <f>IF(OR(AG$25=AF$6,AG$25=AF$7),R152,"Les pièces principales du bâtiment profitent-elles toutes d'une bonne exposition à la lumière du jour et celle-ci est-elle calculée avec un outil reconnu ? (Conformément à la norme Minergie-ECO)")</f>
        <v>Les pièces principales du bâtiment profitent-elles toutes d'une bonne exposition à la lumière du jour et celle-ci est-elle calculée avec un outil reconnu ? (Conformément à la norme Minergie-ECO)</v>
      </c>
      <c r="H152" s="498">
        <f>$B152</f>
        <v>146</v>
      </c>
      <c r="I152" s="500" t="str">
        <f>IF(OR(AG$25=AF$6,AG$25=AF$7),Y152,"Ci sono buone condizioni di luce diurna in tutti i principali ambienti di utilizzo dell'edificio e queste sono verificate con strumenti espliciti? (ad es. Minergie-ECO)")</f>
        <v>Ci sono buone condizioni di luce diurna in tutti i principali ambienti di utilizzo dell'edificio e queste sono verificate con strumenti espliciti? (ad es. Minergie-ECO)</v>
      </c>
      <c r="J152" s="498">
        <f>$B152</f>
        <v>146</v>
      </c>
      <c r="K152" s="501" t="s">
        <v>151</v>
      </c>
      <c r="L152" s="502"/>
      <c r="M152" s="502"/>
      <c r="N152" s="502"/>
      <c r="O152" s="502"/>
      <c r="P152" s="503"/>
      <c r="Q152" s="498">
        <f>$B152</f>
        <v>146</v>
      </c>
      <c r="R152" s="509" t="s">
        <v>402</v>
      </c>
      <c r="S152" s="510"/>
      <c r="T152" s="510"/>
      <c r="U152" s="510"/>
      <c r="V152" s="510"/>
      <c r="W152" s="499"/>
      <c r="X152" s="498">
        <f>$B152</f>
        <v>146</v>
      </c>
      <c r="Y152" s="509" t="s">
        <v>809</v>
      </c>
      <c r="Z152" s="510"/>
      <c r="AA152" s="510"/>
      <c r="AB152" s="510"/>
      <c r="AC152" s="510"/>
      <c r="AD152" s="499"/>
      <c r="AE152" s="138"/>
      <c r="AF152" s="335"/>
      <c r="AG152" s="340"/>
      <c r="AH152" s="766"/>
      <c r="AI152" s="340"/>
      <c r="AJ152" s="1024">
        <f>1/4</f>
        <v>0.25</v>
      </c>
      <c r="AK152" s="43">
        <f t="shared" si="24"/>
        <v>7.4999999999999997E-2</v>
      </c>
      <c r="AL152" s="43">
        <v>0</v>
      </c>
      <c r="AM152" s="44"/>
      <c r="AN152" s="44"/>
      <c r="AO152" s="44" t="str">
        <f>IF(Check!S$84=AQ$5,0,IF(Check!S401=$AQ$4,AJ152,IF(Check!S401=$AQ$6,AK152,IF(OR(Check!S401=$AQ$5,AO148=""),AL152,"NB"))))</f>
        <v>NB</v>
      </c>
      <c r="AP152" s="44"/>
      <c r="AQ152" s="44"/>
      <c r="AR152" s="44"/>
      <c r="AS152" s="41"/>
      <c r="AT152" s="41"/>
      <c r="AU152" s="41"/>
      <c r="AV152" s="442"/>
      <c r="AW152" s="44"/>
      <c r="AX152" s="41"/>
      <c r="AY152" s="42"/>
      <c r="AZ152" s="41"/>
      <c r="BA152" s="42"/>
      <c r="BB152" s="577"/>
      <c r="BC152" s="582"/>
      <c r="BD152" s="398"/>
      <c r="BE152" s="579"/>
      <c r="BF152" s="577"/>
      <c r="BG152" s="582"/>
      <c r="BH152" s="398"/>
      <c r="BI152" s="579"/>
      <c r="BJ152" s="138"/>
    </row>
    <row r="153" spans="1:62" ht="15" customHeight="1">
      <c r="A153" s="138"/>
      <c r="B153" s="498"/>
      <c r="C153" s="870" t="str">
        <f>IF(Tool!$H$7="Français",G153,IF(Tool!$H$7="Italiano",I153,E153))</f>
        <v xml:space="preserve">Ist die optimierte Nutzung des Tageslichts Teil des Projektauftrags? </v>
      </c>
      <c r="D153" s="498"/>
      <c r="E153" s="506" t="s">
        <v>490</v>
      </c>
      <c r="F153" s="498"/>
      <c r="G153" s="506" t="s">
        <v>1780</v>
      </c>
      <c r="H153" s="500"/>
      <c r="I153" s="500" t="s">
        <v>810</v>
      </c>
      <c r="J153" s="498"/>
      <c r="K153" s="501"/>
      <c r="L153" s="502"/>
      <c r="M153" s="502"/>
      <c r="N153" s="502"/>
      <c r="O153" s="502"/>
      <c r="P153" s="503"/>
      <c r="Q153" s="498"/>
      <c r="R153" s="509"/>
      <c r="S153" s="510"/>
      <c r="T153" s="510"/>
      <c r="U153" s="510"/>
      <c r="V153" s="510"/>
      <c r="W153" s="499"/>
      <c r="X153" s="498"/>
      <c r="Y153" s="509"/>
      <c r="Z153" s="510"/>
      <c r="AA153" s="510"/>
      <c r="AB153" s="510"/>
      <c r="AC153" s="510"/>
      <c r="AD153" s="499"/>
      <c r="AE153" s="138"/>
      <c r="AF153" s="824">
        <f>AQ33</f>
        <v>144</v>
      </c>
      <c r="AG153" s="818" t="str">
        <f>AR33</f>
        <v>Sommerlicher Wärmeschutz</v>
      </c>
      <c r="AH153" s="1016"/>
      <c r="AI153" s="768"/>
      <c r="AJ153" s="519">
        <v>1</v>
      </c>
      <c r="AK153" s="519" t="s">
        <v>46</v>
      </c>
      <c r="AL153" s="520">
        <v>0</v>
      </c>
      <c r="AM153" s="1020"/>
      <c r="AN153" s="1020"/>
      <c r="AO153" s="1020" t="str">
        <f>IF(Check!S404=$AQ$4,AJ153,IF(OR(Check!S404=$AQ$5,Check!S404=$AQ$6),AL153,"NB"))</f>
        <v>NB</v>
      </c>
      <c r="AP153" s="1034" t="str">
        <f>IF(OR(AG$40=AQ$4,AG$41=AQ$4,AG$42=AQ$4),1,"NB")</f>
        <v>NB</v>
      </c>
      <c r="AQ153" s="1020" t="str">
        <f>IF(AP153=1,1,
IF(AO153=1,1,
IF(COUNTIF(AO154:AO159,"NB"),"NB",
IF(SUM(AO154:AO159)&gt;1,1,
IF(AND(SUM(AO154:AO159)&gt;=0,SUM(AO154:AO159)&lt;=1),SUM(AO154:AO159),"NB")))))</f>
        <v>NB</v>
      </c>
      <c r="AR153" s="1020"/>
      <c r="AS153" s="1032" t="str">
        <f>IF(AQ153="NB","NB",AQ153)</f>
        <v>NB</v>
      </c>
      <c r="AT153" s="1022"/>
      <c r="AU153" s="1022"/>
      <c r="AV153" s="701"/>
      <c r="AW153" s="1492" t="str">
        <f>AS153</f>
        <v>NB</v>
      </c>
      <c r="AX153" s="655"/>
      <c r="AY153" s="1491"/>
      <c r="AZ153" s="1022" t="str">
        <f>AW153</f>
        <v>NB</v>
      </c>
      <c r="BA153" s="1027"/>
      <c r="BB153" s="577" t="str">
        <f>IF($AS$153="NB","",
IF($AS$153&gt;=0.85,AF153&amp;" "&amp;AG153&amp;"; ",""))</f>
        <v/>
      </c>
      <c r="BC153" s="582" t="str">
        <f>IF($AS$153="NB","",
IF(AND($AS$153&gt;=0.65,$AS$153&lt;0.85),AF153&amp;" "&amp;AG153&amp;"; ",""))</f>
        <v/>
      </c>
      <c r="BD153" s="398" t="str">
        <f>IF($AS$153="NB","",
IF(AND($AS$153&gt;=0.5,$AS$153&lt;0.65),AF153&amp;" "&amp;AG153&amp;"; ",""))</f>
        <v/>
      </c>
      <c r="BE153" s="579" t="str">
        <f>IF($AS$153="NB","",
IF($AS$153&lt;0.5,AF153&amp;" "&amp;AG153&amp;"; ",""))</f>
        <v/>
      </c>
      <c r="BF153" s="577" t="str">
        <f>IF($AS$153="NB","",
IF($AS$153&gt;=0.85,AF153&amp;" ",""))</f>
        <v/>
      </c>
      <c r="BG153" s="582" t="str">
        <f>IF($AS$153="NB","",
IF(AND($AS$153&gt;=0.65,$AS$153&lt;0.85),AF153&amp;" ",""))</f>
        <v/>
      </c>
      <c r="BH153" s="398" t="str">
        <f>IF($AS$153="NB","",
IF(AND($AS$153&gt;=0.5,$AS$153&lt;0.65),AF153&amp;" ",""))</f>
        <v/>
      </c>
      <c r="BI153" s="579" t="str">
        <f>IF($AS$153="NB","",
IF($AS$153&lt;0.5,AF153&amp;" ",""))</f>
        <v/>
      </c>
      <c r="BJ153" s="138"/>
    </row>
    <row r="154" spans="1:62" ht="15" customHeight="1">
      <c r="A154" s="138"/>
      <c r="B154" s="498"/>
      <c r="C154" s="870" t="str">
        <f>IF(Tool!$H$7="Français",G154,IF(Tool!$H$7="Italiano",I154,E154))</f>
        <v>Ist die Anwendung eines Tageslichtnachweis-Tools vorgesehen?</v>
      </c>
      <c r="D154" s="498"/>
      <c r="E154" s="506" t="s">
        <v>152</v>
      </c>
      <c r="F154" s="498"/>
      <c r="G154" s="506" t="s">
        <v>397</v>
      </c>
      <c r="H154" s="500"/>
      <c r="I154" s="500" t="s">
        <v>811</v>
      </c>
      <c r="J154" s="498"/>
      <c r="K154" s="501"/>
      <c r="L154" s="502"/>
      <c r="M154" s="502"/>
      <c r="N154" s="502"/>
      <c r="O154" s="502"/>
      <c r="P154" s="503"/>
      <c r="Q154" s="498"/>
      <c r="R154" s="509"/>
      <c r="S154" s="510"/>
      <c r="T154" s="510"/>
      <c r="U154" s="510"/>
      <c r="V154" s="510"/>
      <c r="W154" s="499"/>
      <c r="X154" s="498"/>
      <c r="Y154" s="509"/>
      <c r="Z154" s="510"/>
      <c r="AA154" s="510"/>
      <c r="AB154" s="510"/>
      <c r="AC154" s="510"/>
      <c r="AD154" s="499"/>
      <c r="AE154" s="138"/>
      <c r="AF154" s="335"/>
      <c r="AG154" s="340"/>
      <c r="AH154" s="766"/>
      <c r="AI154" s="340"/>
      <c r="AJ154" s="43">
        <f t="shared" ref="AJ154:AJ159" si="25">1/6</f>
        <v>0.16666666666666666</v>
      </c>
      <c r="AK154" s="43">
        <f>AJ154*0.3</f>
        <v>4.9999999999999996E-2</v>
      </c>
      <c r="AL154" s="43">
        <v>0</v>
      </c>
      <c r="AM154" s="44"/>
      <c r="AN154" s="44"/>
      <c r="AO154" s="44" t="str">
        <f>IF(Check!S407=$AQ$4,AJ154,IF(Check!S407=$AQ$6,AK154,IF(OR(Check!S407=$AQ$5,AO153=""),AL154,"NB")))</f>
        <v>NB</v>
      </c>
      <c r="AP154" s="44"/>
      <c r="AQ154" s="44"/>
      <c r="AR154" s="44"/>
      <c r="AS154" s="41"/>
      <c r="AT154" s="41"/>
      <c r="AU154" s="41"/>
      <c r="AV154" s="442"/>
      <c r="AW154" s="44"/>
      <c r="AX154" s="41"/>
      <c r="AY154" s="42"/>
      <c r="AZ154" s="41"/>
      <c r="BA154" s="42"/>
      <c r="BB154" s="577"/>
      <c r="BC154" s="582"/>
      <c r="BD154" s="398"/>
      <c r="BE154" s="579"/>
      <c r="BF154" s="577"/>
      <c r="BG154" s="582"/>
      <c r="BH154" s="398"/>
      <c r="BI154" s="579"/>
      <c r="BJ154" s="138"/>
    </row>
    <row r="155" spans="1:62" ht="15" customHeight="1">
      <c r="A155" s="138"/>
      <c r="B155" s="498"/>
      <c r="C155" s="870" t="str">
        <f>IF(Tool!$H$7="Français",G155,IF(Tool!$H$7="Italiano",I155,E155))</f>
        <v>Werden die Anforderungen zum Tageslicht gemäss Minergie-ECO oder gemäss der Norm SN/EN 17037 "Tageslicht in Gebäuden" als Vorgabe definiert?</v>
      </c>
      <c r="D155" s="498"/>
      <c r="E155" s="506" t="s">
        <v>1077</v>
      </c>
      <c r="F155" s="498"/>
      <c r="G155" s="506" t="s">
        <v>1078</v>
      </c>
      <c r="H155" s="500"/>
      <c r="I155" s="500" t="s">
        <v>1795</v>
      </c>
      <c r="J155" s="498"/>
      <c r="K155" s="501"/>
      <c r="L155" s="502"/>
      <c r="M155" s="502"/>
      <c r="N155" s="502"/>
      <c r="O155" s="502"/>
      <c r="P155" s="503"/>
      <c r="Q155" s="498"/>
      <c r="R155" s="509"/>
      <c r="S155" s="510"/>
      <c r="T155" s="510"/>
      <c r="U155" s="510"/>
      <c r="V155" s="510"/>
      <c r="W155" s="499"/>
      <c r="X155" s="498"/>
      <c r="Y155" s="509"/>
      <c r="Z155" s="510"/>
      <c r="AA155" s="510"/>
      <c r="AB155" s="510"/>
      <c r="AC155" s="510"/>
      <c r="AD155" s="499"/>
      <c r="AE155" s="138"/>
      <c r="AF155" s="335"/>
      <c r="AG155" s="340"/>
      <c r="AH155" s="766"/>
      <c r="AI155" s="340"/>
      <c r="AJ155" s="43">
        <f t="shared" si="25"/>
        <v>0.16666666666666666</v>
      </c>
      <c r="AK155" s="43">
        <f t="shared" ref="AK155:AK158" si="26">AJ155*0.3</f>
        <v>4.9999999999999996E-2</v>
      </c>
      <c r="AL155" s="43">
        <v>0</v>
      </c>
      <c r="AM155" s="44"/>
      <c r="AN155" s="44"/>
      <c r="AO155" s="44" t="str">
        <f>IF(Check!S410=$AQ$4,AJ155,IF(Check!S410=$AQ$6,AK155,IF(OR(Check!S410=$AQ$5,AO153=""),AL155,"NB")))</f>
        <v>NB</v>
      </c>
      <c r="AP155" s="44"/>
      <c r="AQ155" s="44"/>
      <c r="AR155" s="44"/>
      <c r="AS155" s="41"/>
      <c r="AT155" s="41"/>
      <c r="AU155" s="41"/>
      <c r="AV155" s="442"/>
      <c r="AW155" s="44"/>
      <c r="AX155" s="41"/>
      <c r="AY155" s="42"/>
      <c r="AZ155" s="41"/>
      <c r="BA155" s="42"/>
      <c r="BB155" s="577"/>
      <c r="BC155" s="582"/>
      <c r="BD155" s="398"/>
      <c r="BE155" s="579"/>
      <c r="BF155" s="577"/>
      <c r="BG155" s="582"/>
      <c r="BH155" s="398"/>
      <c r="BI155" s="579"/>
      <c r="BJ155" s="138"/>
    </row>
    <row r="156" spans="1:62" ht="15" customHeight="1">
      <c r="A156" s="138"/>
      <c r="B156" s="642" t="str">
        <f>IF(OR(Tool!H$7="Deutsch",Tool!H$7=""),"K146","C146")</f>
        <v>K146</v>
      </c>
      <c r="C156" s="872" t="str">
        <f>IF(Tool!$H$7="Français",G156,IF(Tool!$H$7="Italiano",I156,E156))</f>
        <v>Werden Massnahmen getroffen, die einen guten visuellen Komfort in Form von Tageslicht, Blendschutz und Ausblick auch bei aktiviertem Sonnenschutz gewährleisten? (z. B. Fenster auf verschiedene Himmelsrichtungen, Sonnenschutzverglasungen)</v>
      </c>
      <c r="D156" s="642" t="str">
        <f>$B156</f>
        <v>K146</v>
      </c>
      <c r="E156" s="641" t="s">
        <v>812</v>
      </c>
      <c r="F156" s="642" t="str">
        <f>$B156</f>
        <v>K146</v>
      </c>
      <c r="G156" s="641" t="s">
        <v>1781</v>
      </c>
      <c r="H156" s="642" t="str">
        <f>$B156</f>
        <v>K146</v>
      </c>
      <c r="I156" s="648" t="s">
        <v>821</v>
      </c>
      <c r="J156" s="642" t="str">
        <f>$B156</f>
        <v>K146</v>
      </c>
      <c r="K156" s="644"/>
      <c r="L156" s="645"/>
      <c r="M156" s="645"/>
      <c r="N156" s="645"/>
      <c r="O156" s="645"/>
      <c r="P156" s="646"/>
      <c r="Q156" s="642" t="str">
        <f>$B156</f>
        <v>K146</v>
      </c>
      <c r="R156" s="657"/>
      <c r="S156" s="645"/>
      <c r="T156" s="645"/>
      <c r="U156" s="645"/>
      <c r="V156" s="645"/>
      <c r="W156" s="646"/>
      <c r="X156" s="642" t="str">
        <f>$B156</f>
        <v>K146</v>
      </c>
      <c r="Y156" s="657"/>
      <c r="Z156" s="645"/>
      <c r="AA156" s="645"/>
      <c r="AB156" s="645"/>
      <c r="AC156" s="645"/>
      <c r="AD156" s="646"/>
      <c r="AE156" s="138"/>
      <c r="AF156" s="335"/>
      <c r="AG156" s="340"/>
      <c r="AH156" s="766"/>
      <c r="AI156" s="340"/>
      <c r="AJ156" s="43">
        <f t="shared" si="25"/>
        <v>0.16666666666666666</v>
      </c>
      <c r="AK156" s="43">
        <f t="shared" si="26"/>
        <v>4.9999999999999996E-2</v>
      </c>
      <c r="AL156" s="43">
        <v>0</v>
      </c>
      <c r="AM156" s="44"/>
      <c r="AN156" s="44"/>
      <c r="AO156" s="44" t="str">
        <f>IF(Check!S413=$AQ$4,AJ156,IF(Check!S413=$AQ$6,AK156,IF(OR(Check!S413=$AQ$5,AO153=""),AL156,"NB")))</f>
        <v>NB</v>
      </c>
      <c r="AP156" s="44"/>
      <c r="AQ156" s="44"/>
      <c r="AR156" s="44"/>
      <c r="AS156" s="41"/>
      <c r="AT156" s="41"/>
      <c r="AU156" s="41"/>
      <c r="AV156" s="442"/>
      <c r="AW156" s="44"/>
      <c r="AX156" s="41"/>
      <c r="AY156" s="42"/>
      <c r="AZ156" s="41"/>
      <c r="BA156" s="42"/>
      <c r="BB156" s="577"/>
      <c r="BC156" s="582"/>
      <c r="BD156" s="398"/>
      <c r="BE156" s="579"/>
      <c r="BF156" s="577"/>
      <c r="BG156" s="582"/>
      <c r="BH156" s="398"/>
      <c r="BI156" s="579"/>
      <c r="BJ156" s="138"/>
    </row>
    <row r="157" spans="1:62" ht="15" customHeight="1">
      <c r="A157" s="138"/>
      <c r="B157" s="642"/>
      <c r="C157" s="872" t="str">
        <f>IF(Tool!$H$7="Français",G157,IF(Tool!$H$7="Italiano",I157,E157))</f>
        <v>Ist in den Aufenthaltsräumen ausreichend Tageslicht vorhanden, selbst wenn der Sonnenschutz aktiv ist?</v>
      </c>
      <c r="D157" s="642"/>
      <c r="E157" s="641" t="s">
        <v>813</v>
      </c>
      <c r="F157" s="642"/>
      <c r="G157" s="641" t="s">
        <v>1782</v>
      </c>
      <c r="H157" s="642"/>
      <c r="I157" s="648" t="s">
        <v>818</v>
      </c>
      <c r="J157" s="642"/>
      <c r="K157" s="644"/>
      <c r="L157" s="645"/>
      <c r="M157" s="645"/>
      <c r="N157" s="645"/>
      <c r="O157" s="645"/>
      <c r="P157" s="646"/>
      <c r="Q157" s="642"/>
      <c r="R157" s="657"/>
      <c r="S157" s="645"/>
      <c r="T157" s="645"/>
      <c r="U157" s="645"/>
      <c r="V157" s="645"/>
      <c r="W157" s="646"/>
      <c r="X157" s="642"/>
      <c r="Y157" s="657"/>
      <c r="Z157" s="645"/>
      <c r="AA157" s="645"/>
      <c r="AB157" s="645"/>
      <c r="AC157" s="645"/>
      <c r="AD157" s="646"/>
      <c r="AE157" s="138" t="s">
        <v>28</v>
      </c>
      <c r="AF157" s="335"/>
      <c r="AG157" s="340"/>
      <c r="AH157" s="766"/>
      <c r="AI157" s="340"/>
      <c r="AJ157" s="43">
        <f t="shared" si="25"/>
        <v>0.16666666666666666</v>
      </c>
      <c r="AK157" s="43">
        <f t="shared" si="26"/>
        <v>4.9999999999999996E-2</v>
      </c>
      <c r="AL157" s="43">
        <v>0</v>
      </c>
      <c r="AM157" s="44"/>
      <c r="AN157" s="44"/>
      <c r="AO157" s="44" t="str">
        <f>IF(Check!S416=$AQ$4,AJ157,IF(Check!S416=$AQ$6,AK157,IF(OR(Check!S416=$AQ$5,AO153=""),AL157,"NB")))</f>
        <v>NB</v>
      </c>
      <c r="AP157" s="44"/>
      <c r="AQ157" s="44"/>
      <c r="AR157" s="44"/>
      <c r="AS157" s="41"/>
      <c r="AT157" s="41"/>
      <c r="AU157" s="41"/>
      <c r="AV157" s="442"/>
      <c r="AW157" s="44"/>
      <c r="AX157" s="41"/>
      <c r="AY157" s="42"/>
      <c r="AZ157" s="41"/>
      <c r="BA157" s="42"/>
      <c r="BB157" s="577"/>
      <c r="BC157" s="582"/>
      <c r="BD157" s="398"/>
      <c r="BE157" s="579"/>
      <c r="BF157" s="577"/>
      <c r="BG157" s="582"/>
      <c r="BH157" s="398"/>
      <c r="BI157" s="579"/>
      <c r="BJ157" s="138"/>
    </row>
    <row r="158" spans="1:62" ht="15" customHeight="1">
      <c r="A158" s="138"/>
      <c r="B158" s="642"/>
      <c r="C158" s="872" t="str">
        <f>IF(Tool!$H$7="Français",G158,IF(Tool!$H$7="Italiano",I158,E158))</f>
        <v>Ist die Aussicht nach draussen gewährleistet, wenn der Sonnenschutz aktiv ist?</v>
      </c>
      <c r="D158" s="642"/>
      <c r="E158" s="641" t="s">
        <v>814</v>
      </c>
      <c r="F158" s="642"/>
      <c r="G158" s="641" t="s">
        <v>816</v>
      </c>
      <c r="H158" s="642"/>
      <c r="I158" s="648" t="s">
        <v>819</v>
      </c>
      <c r="J158" s="642"/>
      <c r="K158" s="644"/>
      <c r="L158" s="645"/>
      <c r="M158" s="645"/>
      <c r="N158" s="645"/>
      <c r="O158" s="645"/>
      <c r="P158" s="646"/>
      <c r="Q158" s="642"/>
      <c r="R158" s="657"/>
      <c r="S158" s="645"/>
      <c r="T158" s="645"/>
      <c r="U158" s="645"/>
      <c r="V158" s="645"/>
      <c r="W158" s="646"/>
      <c r="X158" s="642"/>
      <c r="Y158" s="657"/>
      <c r="Z158" s="645"/>
      <c r="AA158" s="645"/>
      <c r="AB158" s="645"/>
      <c r="AC158" s="645"/>
      <c r="AD158" s="646"/>
      <c r="AE158" s="138"/>
      <c r="AF158" s="335"/>
      <c r="AG158" s="340"/>
      <c r="AH158" s="766"/>
      <c r="AI158" s="340"/>
      <c r="AJ158" s="43">
        <f t="shared" si="25"/>
        <v>0.16666666666666666</v>
      </c>
      <c r="AK158" s="43">
        <f t="shared" si="26"/>
        <v>4.9999999999999996E-2</v>
      </c>
      <c r="AL158" s="43">
        <v>0</v>
      </c>
      <c r="AM158" s="44"/>
      <c r="AN158" s="44"/>
      <c r="AO158" s="44" t="str">
        <f>IF(Check!S419=$AQ$4,AJ158,IF(Check!S419=$AQ$6,AK158,IF(OR(Check!S419=$AQ$5,AO153=""),AL158,"NB")))</f>
        <v>NB</v>
      </c>
      <c r="AP158" s="44"/>
      <c r="AQ158" s="44"/>
      <c r="AR158" s="44"/>
      <c r="AS158" s="41"/>
      <c r="AT158" s="41"/>
      <c r="AU158" s="41"/>
      <c r="AV158" s="442"/>
      <c r="AW158" s="44"/>
      <c r="AX158" s="41"/>
      <c r="AY158" s="42"/>
      <c r="AZ158" s="41"/>
      <c r="BA158" s="42"/>
      <c r="BB158" s="577"/>
      <c r="BC158" s="582"/>
      <c r="BD158" s="398"/>
      <c r="BE158" s="579"/>
      <c r="BF158" s="577"/>
      <c r="BG158" s="582"/>
      <c r="BH158" s="398"/>
      <c r="BI158" s="579"/>
      <c r="BJ158" s="138"/>
    </row>
    <row r="159" spans="1:62" ht="15" customHeight="1">
      <c r="A159" s="138"/>
      <c r="B159" s="642"/>
      <c r="C159" s="872" t="str">
        <f>IF(Tool!$H$7="Français",G159,IF(Tool!$H$7="Italiano",I159,E159))</f>
        <v>Wird ein Blendschutz bereitgestellt, der im Winter bei tiefem Sonnenstand sowohl solare Einträge als auch Tageslicht ermöglicht, ohne dass Personen in Innenräumen geblendet werden?</v>
      </c>
      <c r="D159" s="642"/>
      <c r="E159" s="641" t="s">
        <v>815</v>
      </c>
      <c r="F159" s="642"/>
      <c r="G159" s="641" t="s">
        <v>817</v>
      </c>
      <c r="H159" s="642"/>
      <c r="I159" s="648" t="s">
        <v>820</v>
      </c>
      <c r="J159" s="642"/>
      <c r="K159" s="644"/>
      <c r="L159" s="645"/>
      <c r="M159" s="645"/>
      <c r="N159" s="645"/>
      <c r="O159" s="645"/>
      <c r="P159" s="646"/>
      <c r="Q159" s="642"/>
      <c r="R159" s="657"/>
      <c r="S159" s="645"/>
      <c r="T159" s="645"/>
      <c r="U159" s="645"/>
      <c r="V159" s="645"/>
      <c r="W159" s="646"/>
      <c r="X159" s="642"/>
      <c r="Y159" s="657"/>
      <c r="Z159" s="645"/>
      <c r="AA159" s="645"/>
      <c r="AB159" s="645"/>
      <c r="AC159" s="645"/>
      <c r="AD159" s="646"/>
      <c r="AE159" s="954" t="s">
        <v>28</v>
      </c>
      <c r="AF159" s="409"/>
      <c r="AG159" s="769"/>
      <c r="AH159" s="771"/>
      <c r="AI159" s="769"/>
      <c r="AJ159" s="43">
        <f t="shared" si="25"/>
        <v>0.16666666666666666</v>
      </c>
      <c r="AK159" s="43">
        <f t="shared" ref="AK159" si="27">AJ159*0.3</f>
        <v>4.9999999999999996E-2</v>
      </c>
      <c r="AL159" s="43">
        <v>0</v>
      </c>
      <c r="AM159" s="44"/>
      <c r="AN159" s="44"/>
      <c r="AO159" s="44" t="str">
        <f>IF(Check!S422=$AQ$4,AJ159,IF(Check!S422=$AQ$6,AK159,IF(OR(Check!S422=$AQ$5,AO153=""),AL159,"NB")))</f>
        <v>NB</v>
      </c>
      <c r="AP159" s="981"/>
      <c r="AQ159" s="44"/>
      <c r="AR159" s="44"/>
      <c r="AS159" s="146"/>
      <c r="AT159" s="41"/>
      <c r="AU159" s="41"/>
      <c r="AV159" s="442"/>
      <c r="AW159" s="44"/>
      <c r="AX159" s="41"/>
      <c r="AY159" s="42"/>
      <c r="AZ159" s="41"/>
      <c r="BA159" s="42"/>
      <c r="BB159" s="577"/>
      <c r="BC159" s="582"/>
      <c r="BD159" s="398"/>
      <c r="BE159" s="579"/>
      <c r="BF159" s="577"/>
      <c r="BG159" s="582"/>
      <c r="BH159" s="398"/>
      <c r="BI159" s="579"/>
      <c r="BJ159" s="138"/>
    </row>
    <row r="160" spans="1:62" ht="15" customHeight="1">
      <c r="A160" s="138"/>
      <c r="B160" s="498">
        <v>147</v>
      </c>
      <c r="C160" s="870" t="str">
        <f>IF(Tool!$H$7="Français",G160,IF(Tool!$H$7="Italiano",I160,E160))</f>
        <v>Werden im Projekt überall (in Bezug auf Aussenlärm, Innenlärm und Geräusche haustechnischer Anlagen) die erhöhten Schallschutzanforderungen (gemäss der geltenden Norm SIA 181) und die Anforderungen an die Raumakustik umgesetzt?</v>
      </c>
      <c r="D160" s="498">
        <f>$B160</f>
        <v>147</v>
      </c>
      <c r="E160" s="506" t="str">
        <f>IF(AG$26=AG$4,L160,"Werden im Projekt überall (in Bezug auf Aussenlärm, Innenlärm und Geräusche haustechnischer Anlagen) die erhöhten Schallschutzanforderungen (gemäss der geltenden Norm SIA 181) und die Anforderungen an die Raumakustik umgesetzt?")</f>
        <v>Werden im Projekt überall (in Bezug auf Aussenlärm, Innenlärm und Geräusche haustechnischer Anlagen) die erhöhten Schallschutzanforderungen (gemäss der geltenden Norm SIA 181) und die Anforderungen an die Raumakustik umgesetzt?</v>
      </c>
      <c r="F160" s="498">
        <f>$B160</f>
        <v>147</v>
      </c>
      <c r="G160" s="506" t="str">
        <f>IF(AG$26=AG$4,S160,"Les exigences accrues en termes d'isolation phonique (selon la norme SIA 181 en vigueur) sont-elles appliquées sur l'ensemble du projet et les exigences en termes d'acoustique sont-elles respectées ?")</f>
        <v>Les exigences accrues en termes d'isolation phonique (selon la norme SIA 181 en vigueur) sont-elles appliquées sur l'ensemble du projet et les exigences en termes d'acoustique sont-elles respectées ?</v>
      </c>
      <c r="H160" s="498">
        <f>$B160</f>
        <v>147</v>
      </c>
      <c r="I160" s="500" t="str">
        <f>IF(AG$26=AG$4,Z160,"I requisiti di maggiore protezione acustica (secondo la norma SIA 181) e i requisiti di acustica interna sono stati implementati ovunque nel progetto (per quanto riguarda il rumore esterno, il rumore interno e il rumore dei servizi dell'edificio)?")</f>
        <v>I requisiti di maggiore protezione acustica (secondo la norma SIA 181) e i requisiti di acustica interna sono stati implementati ovunque nel progetto (per quanto riguarda il rumore esterno, il rumore interno e il rumore dei servizi dell'edificio)?</v>
      </c>
      <c r="J160" s="498">
        <f>$B160</f>
        <v>147</v>
      </c>
      <c r="K160" s="501"/>
      <c r="L160" s="502" t="s">
        <v>823</v>
      </c>
      <c r="M160" s="502"/>
      <c r="N160" s="502"/>
      <c r="O160" s="502"/>
      <c r="P160" s="503"/>
      <c r="Q160" s="498">
        <f>$B160</f>
        <v>147</v>
      </c>
      <c r="R160" s="509"/>
      <c r="S160" s="510" t="s">
        <v>822</v>
      </c>
      <c r="T160" s="510"/>
      <c r="U160" s="510"/>
      <c r="V160" s="510"/>
      <c r="W160" s="499"/>
      <c r="X160" s="498">
        <f>$B160</f>
        <v>147</v>
      </c>
      <c r="Y160" s="509"/>
      <c r="Z160" s="510" t="s">
        <v>1796</v>
      </c>
      <c r="AA160" s="510"/>
      <c r="AB160" s="510"/>
      <c r="AC160" s="510"/>
      <c r="AD160" s="499"/>
      <c r="AE160" s="138" t="s">
        <v>28</v>
      </c>
      <c r="AF160" s="1006" t="str">
        <f>AT$31</f>
        <v>K144</v>
      </c>
      <c r="AG160" s="1003" t="str">
        <f>AU31</f>
        <v>Behaglichkeit im Klimawandel</v>
      </c>
      <c r="AH160" s="1007"/>
      <c r="AI160" s="1003"/>
      <c r="AJ160" s="1008">
        <v>1</v>
      </c>
      <c r="AK160" s="1008" t="s">
        <v>46</v>
      </c>
      <c r="AL160" s="1008">
        <v>0</v>
      </c>
      <c r="AM160" s="1012"/>
      <c r="AN160" s="1012"/>
      <c r="AO160" s="1023" t="str">
        <f>IF(Check!S425=$AQ$4,AJ160,IF(OR(Check!S425=$AQ$6,Check!S425=$AQ$5),AL160,"NB"))</f>
        <v>NB</v>
      </c>
      <c r="AP160" s="1012"/>
      <c r="AQ160" s="1012"/>
      <c r="AR160" s="1012"/>
      <c r="AS160" s="1012"/>
      <c r="AT160" s="1012"/>
      <c r="AU160" s="1012"/>
      <c r="AV160" s="1009" t="str">
        <f>IF(AP160=1,1,
IF(AO160=1,1,
IF(COUNTIF(AO161:AO163,"NB"),"NB",
IF(SUM(AO161:AO163)&gt;1,1,
IF(AND(SUM(AO161:AO163)&gt;=0,SUM(AO161:AO163)&lt;=1),SUM(AO161:AO163),"NB")))))</f>
        <v>NB</v>
      </c>
      <c r="AW160" s="655" t="str">
        <f>IF(AV160="NB","NB",AV160)</f>
        <v>NB</v>
      </c>
      <c r="AX160" s="1012"/>
      <c r="AY160" s="1035"/>
      <c r="AZ160" s="1488" t="str">
        <f>AW160</f>
        <v>NB</v>
      </c>
      <c r="BA160" s="1035"/>
      <c r="BB160" s="577" t="str">
        <f>IF($AW$160="NB","",
IF($AW$160&gt;=0.85,AF160&amp;" "&amp;AG160&amp;"; ",""))</f>
        <v/>
      </c>
      <c r="BC160" s="582" t="str">
        <f>IF($AW$160="NB","",
IF(AND($AW$160&gt;=0.65,$AW$160&lt;0.85),AF160&amp;" "&amp;AG160&amp;"; ",""))</f>
        <v/>
      </c>
      <c r="BD160" s="398" t="str">
        <f>IF($AW$160="NB","",
IF(AND($AW$160&gt;=0.5,$AW$160&lt;0.65),AF160&amp;" "&amp;AG160&amp;"; ",""))</f>
        <v/>
      </c>
      <c r="BE160" s="579" t="str">
        <f>IF($AW$160="NB","",
IF($AW$160&lt;0.5,AF160&amp;" "&amp;AG160&amp;"; ",""))</f>
        <v/>
      </c>
      <c r="BF160" s="577" t="str">
        <f>IF($AW$160="NB","",
IF($AW$160&gt;=0.85,AF160&amp;" ",""))</f>
        <v/>
      </c>
      <c r="BG160" s="582" t="str">
        <f>IF($AW$160="NB","",
IF(AND($AW$160&gt;=0.65,$AW$160&lt;0.85),AF160&amp;" ",""))</f>
        <v/>
      </c>
      <c r="BH160" s="398" t="str">
        <f>IF($AW$160="NB","",
IF(AND($AW$160&gt;=0.5,$AW$160&lt;0.65),AF160&amp;" ",""))</f>
        <v/>
      </c>
      <c r="BI160" s="579" t="str">
        <f>IF($AW$160="NB","",
IF($AW$160&lt;0.5,AF160&amp;" ",""))</f>
        <v/>
      </c>
      <c r="BJ160" s="138"/>
    </row>
    <row r="161" spans="1:62" ht="15" customHeight="1">
      <c r="A161" s="138"/>
      <c r="B161" s="498"/>
      <c r="C161" s="870" t="str">
        <f>IF(Tool!$H$7="Français",G161,IF(Tool!$H$7="Italiano",I161,E161))</f>
        <v>Werden die gesetzlichen Mindestanforderungen zum Schallschutz zwischen mehreren Nutzungseinheiten (Luft- und Trittschall) sowie an die Gebäudehülle gemäss der Norm SIA 181 eingehalten?</v>
      </c>
      <c r="D161" s="498"/>
      <c r="E161" s="506" t="str">
        <f>IF(OR(AG$25=AF$6,AG$25=AF$7),K161,"Werden die gesetzlichen Mindestanforderungen zum Schallschutz zwischen mehreren Nutzungseinheiten (Luft- und Trittschall) sowie an die Gebäudehülle gemäss der Norm SIA 181 eingehalten?")</f>
        <v>Werden die gesetzlichen Mindestanforderungen zum Schallschutz zwischen mehreren Nutzungseinheiten (Luft- und Trittschall) sowie an die Gebäudehülle gemäss der Norm SIA 181 eingehalten?</v>
      </c>
      <c r="F161" s="498"/>
      <c r="G161" s="506" t="str">
        <f>IF(OR(AG$25=AF$6,AG$25=AF$7),R161,"Les exigences légales minimales en matière de la protection contre le bruit entre unités d'utilisation (bruits aériens et bruits de choc) ainsi que pour l'enveloppe du bâtiment sont-elles respectées conformément à la norme SIA 181 ?")</f>
        <v>Les exigences légales minimales en matière de la protection contre le bruit entre unités d'utilisation (bruits aériens et bruits de choc) ainsi que pour l'enveloppe du bâtiment sont-elles respectées conformément à la norme SIA 181 ?</v>
      </c>
      <c r="H161" s="500"/>
      <c r="I161" s="500" t="str">
        <f>IF(OR(AG$25=AF$6,AG$25=AF$7),Y161,"Sono rispettati i requisiti minimi previsti dalla legge per la protezione acustica tra diverse unità di utilizzo (rumore per via aerea e solida) e per l'involucro dell'edificio secondo la norma SIA 181?")</f>
        <v>Sono rispettati i requisiti minimi previsti dalla legge per la protezione acustica tra diverse unità di utilizzo (rumore per via aerea e solida) e per l'involucro dell'edificio secondo la norma SIA 181?</v>
      </c>
      <c r="J161" s="498"/>
      <c r="K161" s="501" t="s">
        <v>1395</v>
      </c>
      <c r="L161" s="502"/>
      <c r="M161" s="502"/>
      <c r="N161" s="502"/>
      <c r="O161" s="502"/>
      <c r="P161" s="503"/>
      <c r="Q161" s="498"/>
      <c r="R161" s="509" t="s">
        <v>824</v>
      </c>
      <c r="S161" s="510"/>
      <c r="T161" s="510"/>
      <c r="U161" s="510"/>
      <c r="V161" s="510"/>
      <c r="W161" s="499"/>
      <c r="X161" s="498"/>
      <c r="Y161" s="509" t="s">
        <v>825</v>
      </c>
      <c r="Z161" s="510"/>
      <c r="AA161" s="510"/>
      <c r="AB161" s="510"/>
      <c r="AC161" s="510"/>
      <c r="AD161" s="499"/>
      <c r="AE161" s="138" t="s">
        <v>28</v>
      </c>
      <c r="AF161" s="409"/>
      <c r="AG161" s="769"/>
      <c r="AH161" s="771"/>
      <c r="AI161" s="769"/>
      <c r="AJ161" s="43">
        <f>AJ160/3</f>
        <v>0.33333333333333331</v>
      </c>
      <c r="AK161" s="43">
        <f>AJ161*0.3</f>
        <v>9.9999999999999992E-2</v>
      </c>
      <c r="AL161" s="43">
        <v>0</v>
      </c>
      <c r="AM161" s="44"/>
      <c r="AN161" s="44"/>
      <c r="AO161" s="44" t="str">
        <f>IF(Check!S428=$AQ$4,AJ161,IF(Check!S428=$AQ$6,AK161,IF(OR(Check!S428=$AQ$5,AO160=""),AL161,"NB")))</f>
        <v>NB</v>
      </c>
      <c r="AP161" s="981"/>
      <c r="AQ161" s="44"/>
      <c r="AR161" s="44"/>
      <c r="AS161" s="146"/>
      <c r="AT161" s="41"/>
      <c r="AU161" s="41"/>
      <c r="AV161" s="442"/>
      <c r="AW161" s="44"/>
      <c r="AX161" s="41"/>
      <c r="AY161" s="42"/>
      <c r="AZ161" s="41"/>
      <c r="BA161" s="42"/>
      <c r="BB161" s="577"/>
      <c r="BC161" s="582"/>
      <c r="BD161" s="398"/>
      <c r="BE161" s="579"/>
      <c r="BF161" s="577"/>
      <c r="BG161" s="582"/>
      <c r="BH161" s="398"/>
      <c r="BI161" s="579"/>
      <c r="BJ161" s="138"/>
    </row>
    <row r="162" spans="1:62" ht="15" customHeight="1">
      <c r="A162" s="138"/>
      <c r="B162" s="498"/>
      <c r="C162" s="870" t="str">
        <f>IF(Tool!$H$7="Français",G162,IF(Tool!$H$7="Italiano",I162,E162))</f>
        <v>Werden auch innerhalb dereinzelnen Nutzungseinheiten Massnahmen für einen besseren Schallschutz zwischen Räumen umgesetzt (Luft- und Trittschall)?</v>
      </c>
      <c r="D162" s="498"/>
      <c r="E162" s="506" t="str">
        <f>IF(AND(AG$26=AG$5,OR(AG$25=AF$6,AG$25=AF$7)),M162,IF(AND(AG$26=AG$5,OR(AG$25=AF$6,AG$25=AF$7)),O162,IF(OR(AG$25=AF$4,AG$25=AF$5),P162,"Werden auch innerhalb dereinzelnen Nutzungseinheiten Massnahmen für einen besseren Schallschutz zwischen Räumen umgesetzt (Luft- und Trittschall)?")))</f>
        <v>Werden auch innerhalb dereinzelnen Nutzungseinheiten Massnahmen für einen besseren Schallschutz zwischen Räumen umgesetzt (Luft- und Trittschall)?</v>
      </c>
      <c r="F162" s="498"/>
      <c r="G162" s="506" t="str">
        <f>IF(AND(AG$26=AG$5,OR(AG$25=AF$6,AG$25=AF$7)),T162,IF(AND(AG$26=AG$5,OR(AG$25=AF$6,AG$25=AF$7)),V162,IF(OR(AG$25=AF$4,AG$25=AF$5),W162,"Des mesures visant à améliorer la protection contre le bruit entre unités d’utilisation (bruit aérien et bruit de choc) sont-elles également mises en œuvre au sein des différentes unités d’utilisation ?")))</f>
        <v>Des mesures visant à améliorer la protection contre le bruit entre unités d’utilisation (bruit aérien et bruit de choc) sont-elles également mises en œuvre au sein des différentes unités d’utilisation ?</v>
      </c>
      <c r="H162" s="500"/>
      <c r="I162" s="500" t="str">
        <f>IF(AND(AG$26=AG$5,OR(AG$25=AF$6,AG$25=AF$7)),AA162,IF(AND(AG$26=AG$5,OR(AG$25=AF$6,AG$25=AF$7)),AC162,IF(OR(AG$25=AF$4,AG$25=AF$5),AD162,"Sono state adottate misure anche all'interno delle singole unità d'uso per migliorare di protezione acustica tra le unità d'uso (rumore per via aerea e solida)?")))</f>
        <v>Sono state adottate misure anche all'interno delle singole unità d'uso per migliorare di protezione acustica tra le unità d'uso (rumore per via aerea e solida)?</v>
      </c>
      <c r="J162" s="498"/>
      <c r="K162" s="501"/>
      <c r="L162" s="502"/>
      <c r="M162" s="502" t="s">
        <v>826</v>
      </c>
      <c r="N162" s="502"/>
      <c r="O162" s="502" t="s">
        <v>827</v>
      </c>
      <c r="P162" s="503" t="s">
        <v>839</v>
      </c>
      <c r="Q162" s="498"/>
      <c r="R162" s="509"/>
      <c r="S162" s="510"/>
      <c r="T162" s="510" t="s">
        <v>828</v>
      </c>
      <c r="U162" s="510"/>
      <c r="V162" s="510" t="s">
        <v>829</v>
      </c>
      <c r="W162" s="499" t="s">
        <v>1783</v>
      </c>
      <c r="X162" s="498"/>
      <c r="Y162" s="509"/>
      <c r="Z162" s="510"/>
      <c r="AA162" s="510" t="s">
        <v>830</v>
      </c>
      <c r="AB162" s="510"/>
      <c r="AC162" s="510" t="s">
        <v>831</v>
      </c>
      <c r="AD162" s="499" t="s">
        <v>840</v>
      </c>
      <c r="AE162" s="138"/>
      <c r="AF162" s="409"/>
      <c r="AG162" s="769"/>
      <c r="AH162" s="771"/>
      <c r="AI162" s="769"/>
      <c r="AJ162" s="43">
        <f>AJ160/3</f>
        <v>0.33333333333333331</v>
      </c>
      <c r="AK162" s="43">
        <f t="shared" ref="AK162:AK163" si="28">AJ162*0.3</f>
        <v>9.9999999999999992E-2</v>
      </c>
      <c r="AL162" s="43">
        <v>0</v>
      </c>
      <c r="AM162" s="44"/>
      <c r="AN162" s="44"/>
      <c r="AO162" s="44" t="str">
        <f>IF(Check!S431=$AQ$4,AJ162,IF(Check!S431=$AQ$6,AK162,IF(OR(Check!S431=$AQ$5,AO160=""),AL162,"NB")))</f>
        <v>NB</v>
      </c>
      <c r="AP162" s="981"/>
      <c r="AQ162" s="44"/>
      <c r="AR162" s="44"/>
      <c r="AS162" s="146"/>
      <c r="AT162" s="41"/>
      <c r="AU162" s="41"/>
      <c r="AV162" s="442"/>
      <c r="AW162" s="44"/>
      <c r="AX162" s="41"/>
      <c r="AY162" s="42"/>
      <c r="AZ162" s="41"/>
      <c r="BA162" s="42"/>
      <c r="BB162" s="577"/>
      <c r="BC162" s="582"/>
      <c r="BD162" s="398"/>
      <c r="BE162" s="579"/>
      <c r="BF162" s="577"/>
      <c r="BG162" s="582"/>
      <c r="BH162" s="398"/>
      <c r="BI162" s="579"/>
      <c r="BJ162" s="138"/>
    </row>
    <row r="163" spans="1:62" ht="15" customHeight="1">
      <c r="A163" s="138"/>
      <c r="B163" s="498"/>
      <c r="C163" s="870" t="str">
        <f>IF(Tool!$H$7="Français",G163,IF(Tool!$H$7="Italiano",I163,E163))</f>
        <v>Werden Massnahmen zum Schallschutz innerhalb der Nutzungseinheiten (Luft- und Trittschall sowie Geräusche haustechnischer Anlagen) umgesetzt und die Mindestanforderungen (Stufe 1, gemäss Norm SIA 181:2006 Anhang G) eingehalten?</v>
      </c>
      <c r="D163" s="498"/>
      <c r="E163" s="506" t="str">
        <f>IF(OR(AG$25=AF$6,AG$25=AF$7),K163,"Werden Massnahmen zum Schallschutz innerhalb der Nutzungseinheiten (Luft- und Trittschall sowie Geräusche haustechnischer Anlagen) umgesetzt und die Mindestanforderungen (Stufe 1, gemäss Norm SIA 181:2006 Anhang G) eingehalten?")</f>
        <v>Werden Massnahmen zum Schallschutz innerhalb der Nutzungseinheiten (Luft- und Trittschall sowie Geräusche haustechnischer Anlagen) umgesetzt und die Mindestanforderungen (Stufe 1, gemäss Norm SIA 181:2006 Anhang G) eingehalten?</v>
      </c>
      <c r="F163" s="498"/>
      <c r="G163" s="506" t="str">
        <f>IF(OR(AG$25=AF$6,AG$25=AF$7),R163,"Des mesures sont-elles appliquées au projet pour assurer une bonne protection contre le bruit entre unités d’utilisation (bruit aérien, bruit de choc et bruit des installations techniques) conformément au niveau 1 de la norme SIA 181:2006 Annexe G?")</f>
        <v>Des mesures sont-elles appliquées au projet pour assurer une bonne protection contre le bruit entre unités d’utilisation (bruit aérien, bruit de choc et bruit des installations techniques) conformément au niveau 1 de la norme SIA 181:2006 Annexe G?</v>
      </c>
      <c r="H163" s="500"/>
      <c r="I163" s="500" t="str">
        <f>IF(OR(AG$25=AF$6,AG$25=AF$7),Y163,"Sono state adottate misure di protezione fonica tra le unità d'uso (rumore per via aerea e solida e rumore degli impianti tecnici dell'edificio) e sono stati rispettati i requisiti minimi (livello 1, secondo la norma SIA 181:2006, Allegato G)?")</f>
        <v>Sono state adottate misure di protezione fonica tra le unità d'uso (rumore per via aerea e solida e rumore degli impianti tecnici dell'edificio) e sono stati rispettati i requisiti minimi (livello 1, secondo la norma SIA 181:2006, Allegato G)?</v>
      </c>
      <c r="J163" s="498"/>
      <c r="K163" s="503" t="s">
        <v>832</v>
      </c>
      <c r="L163" s="502"/>
      <c r="M163" s="502"/>
      <c r="N163" s="502"/>
      <c r="O163" s="502"/>
      <c r="P163" s="503"/>
      <c r="Q163" s="498"/>
      <c r="R163" s="499" t="s">
        <v>834</v>
      </c>
      <c r="S163" s="502"/>
      <c r="T163" s="502"/>
      <c r="U163" s="502"/>
      <c r="V163" s="502"/>
      <c r="W163" s="499"/>
      <c r="X163" s="498"/>
      <c r="Y163" s="499" t="s">
        <v>833</v>
      </c>
      <c r="Z163" s="502"/>
      <c r="AA163" s="502"/>
      <c r="AB163" s="502"/>
      <c r="AC163" s="502"/>
      <c r="AD163" s="499"/>
      <c r="AE163" s="138"/>
      <c r="AF163" s="335"/>
      <c r="AG163" s="340"/>
      <c r="AH163" s="766"/>
      <c r="AI163" s="340"/>
      <c r="AJ163" s="43">
        <f>AJ160/3</f>
        <v>0.33333333333333331</v>
      </c>
      <c r="AK163" s="43">
        <f t="shared" si="28"/>
        <v>9.9999999999999992E-2</v>
      </c>
      <c r="AL163" s="43">
        <v>0</v>
      </c>
      <c r="AM163" s="44"/>
      <c r="AN163" s="44"/>
      <c r="AO163" s="44" t="str">
        <f>IF(Check!S434=$AQ$4,AJ163,IF(Check!S434=$AQ$6,AK163,IF(OR(Check!S434=$AQ$5,AO160=""),AL163,"NB")))</f>
        <v>NB</v>
      </c>
      <c r="AP163" s="44"/>
      <c r="AQ163" s="44"/>
      <c r="AR163" s="44"/>
      <c r="AS163" s="41"/>
      <c r="AT163" s="41"/>
      <c r="AU163" s="41"/>
      <c r="AV163" s="442"/>
      <c r="AW163" s="44"/>
      <c r="AX163" s="41"/>
      <c r="AY163" s="42"/>
      <c r="AZ163" s="41"/>
      <c r="BA163" s="42"/>
      <c r="BB163" s="577"/>
      <c r="BC163" s="582"/>
      <c r="BD163" s="398"/>
      <c r="BE163" s="579"/>
      <c r="BF163" s="577"/>
      <c r="BG163" s="582"/>
      <c r="BH163" s="398"/>
      <c r="BI163" s="579"/>
      <c r="BJ163" s="138"/>
    </row>
    <row r="164" spans="1:62" ht="15" customHeight="1">
      <c r="A164" s="138"/>
      <c r="B164" s="504"/>
      <c r="C164" s="873" t="str">
        <f>IF(Tool!$H$7="Français",G164,IF(Tool!$H$7="Italiano",I164,E164))</f>
        <v>Werden Anforderungen an die Raumakustik frühzeitig thematisiert und formuliert?</v>
      </c>
      <c r="D164" s="504"/>
      <c r="E164" s="1598" t="str">
        <f>IF(AND(AG$26=AG$4,OR(AG$25=AF$4,AG$25=AF$5)),L164,IF(AND(AG$26=AG$5,OR(AG$25=AF$4,AG$25=AF$5)),M164,IF(AND(AG$26=AG$6,OR(AG$25=AF$4,AG$25=AF$5)),O164,IF(OR(AG$25=AF$6,AG$25=AF$7),P164,IF(AND(AG$26=AG$4,OR(AG$25=AF$6,AG$25=AF$7)),K164,"Werden Anforderungen an die Raumakustik frühzeitig thematisiert und formuliert?")))))</f>
        <v>Werden Anforderungen an die Raumakustik frühzeitig thematisiert und formuliert?</v>
      </c>
      <c r="F164" s="504"/>
      <c r="G164" s="1598" t="str">
        <f>IF(AND(AG$26=AG$4,OR(AG$25=AF$4,AG$25=AF$5)),S164,IF(AND(AG$26=AG$5,OR(AG$25=AF$4,AG$25=AF$5)),T164,IF(AND(AG$26=AG$6,OR(AG$25=AF$4,AG$25=AF$5)),V164,IF(OR(AG$25=AF$6,AG$25=AF$7),W164,IF(AND(AG$26=AG$4,OR(AG$25=AF$6,AG$25=AF$7)),R164,"Des mesures d'acoustique  ont-elles été thématisées et formulées lors des étapes initiales du projet ?")))))</f>
        <v>Des mesures d'acoustique  ont-elles été thématisées et formulées lors des étapes initiales du projet ?</v>
      </c>
      <c r="H164" s="1599"/>
      <c r="I164" s="1599" t="str">
        <f>IF(AND(AG$26=AG$4,OR(AG$25=AF$4,AG$25=AF$5)),Z164,IF(AND(AG$26=AG$5,OR(AG$25=AF$4,AG$25=AF$5)),AA164,IF(AND(AG$26=AG$6,OR(AG$25=AF$4,AG$25=AF$5)),AC164,IF(OR(AG$25=AF$6,AG$25=AF$7),AD164,IF(AND(AG$26=AG$4,OR(AG$25=AF$6,AG$25=AF$7)),Y164,"I requisiti di acustica interna vengono discussi e formulati in una fase iniziale?")))))</f>
        <v>I requisiti di acustica interna vengono discussi e formulati in una fase iniziale?</v>
      </c>
      <c r="J164" s="504"/>
      <c r="K164" s="1600" t="s">
        <v>842</v>
      </c>
      <c r="L164" s="1601" t="s">
        <v>835</v>
      </c>
      <c r="M164" s="1601" t="s">
        <v>1396</v>
      </c>
      <c r="N164" s="1601"/>
      <c r="O164" s="1601" t="s">
        <v>1397</v>
      </c>
      <c r="P164" s="1602" t="s">
        <v>841</v>
      </c>
      <c r="Q164" s="504"/>
      <c r="R164" s="1600" t="s">
        <v>844</v>
      </c>
      <c r="S164" s="1603" t="s">
        <v>836</v>
      </c>
      <c r="T164" s="1603" t="s">
        <v>837</v>
      </c>
      <c r="U164" s="1603"/>
      <c r="V164" s="1603" t="s">
        <v>838</v>
      </c>
      <c r="W164" s="1604" t="s">
        <v>843</v>
      </c>
      <c r="X164" s="504"/>
      <c r="Y164" s="1605" t="s">
        <v>846</v>
      </c>
      <c r="Z164" s="1603" t="s">
        <v>1792</v>
      </c>
      <c r="AA164" s="1603" t="s">
        <v>1793</v>
      </c>
      <c r="AB164" s="1603"/>
      <c r="AC164" s="1603" t="s">
        <v>1794</v>
      </c>
      <c r="AD164" s="1604" t="s">
        <v>845</v>
      </c>
      <c r="AE164" s="138"/>
      <c r="AF164" s="824">
        <f>AQ34</f>
        <v>145</v>
      </c>
      <c r="AG164" s="818" t="str">
        <f>AR34</f>
        <v>Winterlicher Wärmeschutz</v>
      </c>
      <c r="AH164" s="1016"/>
      <c r="AI164" s="768"/>
      <c r="AJ164" s="519">
        <v>1</v>
      </c>
      <c r="AK164" s="519" t="s">
        <v>46</v>
      </c>
      <c r="AL164" s="520">
        <v>0</v>
      </c>
      <c r="AM164" s="1020"/>
      <c r="AN164" s="1020"/>
      <c r="AO164" s="1020" t="str">
        <f>IF(Check!S437=$AQ$4,AJ164,IF(OR(Check!S437=$AQ$5,Check!S437=$AQ$6),AL164,"NB"))</f>
        <v>NB</v>
      </c>
      <c r="AP164" s="1034" t="str">
        <f>IF(OR(AG$40=AQ$4,AG$41=AQ$4,AG$42=AQ$4),1,"NB")</f>
        <v>NB</v>
      </c>
      <c r="AQ164" s="1020" t="str">
        <f>IF(AP164=1,1,
IF(AO164=1,1,
IF(COUNTIF(AO165:AO168,"NB"),"NB",
IF(SUM(AO165:AO168)&gt;1,1,
IF(AND(SUM(AO165:AO168)&gt;=0,SUM(AO165:AO168)&lt;=1),SUM(AO165:AO168),"NB")))))</f>
        <v>NB</v>
      </c>
      <c r="AR164" s="1020"/>
      <c r="AS164" s="1032" t="str">
        <f>IF(AQ164="NB","NB",AQ164)</f>
        <v>NB</v>
      </c>
      <c r="AT164" s="1022"/>
      <c r="AU164" s="1022"/>
      <c r="AV164" s="1026"/>
      <c r="AW164" s="1020"/>
      <c r="AX164" s="1022"/>
      <c r="AY164" s="1027"/>
      <c r="AZ164" s="1022"/>
      <c r="BA164" s="1027"/>
      <c r="BB164" s="577" t="str">
        <f>IF($AS$164="NB","",
IF($AS$164&gt;=0.85,AF164&amp;" "&amp;AG164&amp;"; ",""))</f>
        <v/>
      </c>
      <c r="BC164" s="582" t="str">
        <f>IF($AS$164="NB","",
IF(AND($AS$164&gt;=0.65,$AS$164&lt;0.85),AF164&amp;" "&amp;AG164&amp;"; ",""))</f>
        <v/>
      </c>
      <c r="BD164" s="398" t="str">
        <f>IF($AS$164="NB","",
IF(AND($AS$164&gt;=0.5,$AS$164&lt;0.65),AF164&amp;" "&amp;AG164&amp;"; ",""))</f>
        <v/>
      </c>
      <c r="BE164" s="579" t="str">
        <f>IF($AS$164="NB","",
IF($AS$164&lt;0.5,AF164&amp;" "&amp;AG164&amp;"; ",""))</f>
        <v/>
      </c>
      <c r="BF164" s="577" t="str">
        <f>IF($AS$164="NB","",
IF($AS$164&gt;=0.85,AF164&amp;" ",""))</f>
        <v/>
      </c>
      <c r="BG164" s="582" t="str">
        <f>IF($AS$164="NB","",
IF(AND($AS$164&gt;=0.65,$AS$164&lt;0.85),AF164&amp;" ",""))</f>
        <v/>
      </c>
      <c r="BH164" s="398" t="str">
        <f>IF($AS$164="NB","",
IF(AND($AS$164&gt;=0.5,$AS$164&lt;0.65),AF164&amp;" ",""))</f>
        <v/>
      </c>
      <c r="BI164" s="579" t="str">
        <f>IF($AS$164="NB","",
IF($AS$164&lt;0.5,AF164&amp;" ",""))</f>
        <v/>
      </c>
      <c r="BJ164" s="138"/>
    </row>
    <row r="165" spans="1:62" ht="15" customHeight="1">
      <c r="A165" s="138"/>
      <c r="B165" s="142"/>
      <c r="C165" s="290"/>
      <c r="D165" s="142"/>
      <c r="E165" s="290"/>
      <c r="F165" s="142"/>
      <c r="G165" s="290"/>
      <c r="H165" s="290"/>
      <c r="I165" s="290"/>
      <c r="J165" s="142"/>
      <c r="K165" s="318"/>
      <c r="L165" s="318"/>
      <c r="M165" s="318"/>
      <c r="N165" s="318"/>
      <c r="O165" s="318"/>
      <c r="P165" s="318"/>
      <c r="Q165" s="142"/>
      <c r="R165" s="959"/>
      <c r="S165" s="959"/>
      <c r="T165" s="959"/>
      <c r="U165" s="318"/>
      <c r="V165" s="959"/>
      <c r="W165" s="318"/>
      <c r="X165" s="142"/>
      <c r="Y165" s="959"/>
      <c r="Z165" s="959"/>
      <c r="AA165" s="959"/>
      <c r="AB165" s="318"/>
      <c r="AC165" s="959"/>
      <c r="AD165" s="318"/>
      <c r="AE165" s="138" t="s">
        <v>28</v>
      </c>
      <c r="AF165" s="409"/>
      <c r="AG165" s="769"/>
      <c r="AH165" s="771"/>
      <c r="AI165" s="769"/>
      <c r="AJ165" s="43">
        <f>1/4</f>
        <v>0.25</v>
      </c>
      <c r="AK165" s="43">
        <f>AJ165*0.3</f>
        <v>7.4999999999999997E-2</v>
      </c>
      <c r="AL165" s="43">
        <v>0</v>
      </c>
      <c r="AM165" s="44"/>
      <c r="AN165" s="44"/>
      <c r="AO165" s="44" t="str">
        <f>IF(Check!S440=$AQ$4,AJ165,IF(Check!S440=$AQ$6,AK165,IF(OR(Check!S440=$AQ$5,AO164=""),AL165,"NB")))</f>
        <v>NB</v>
      </c>
      <c r="AP165" s="44"/>
      <c r="AQ165" s="44"/>
      <c r="AR165" s="44"/>
      <c r="AS165" s="41"/>
      <c r="AT165" s="41"/>
      <c r="AU165" s="41"/>
      <c r="AV165" s="442"/>
      <c r="AW165" s="44"/>
      <c r="AX165" s="41"/>
      <c r="AY165" s="42"/>
      <c r="AZ165" s="41"/>
      <c r="BA165" s="42"/>
      <c r="BB165" s="577"/>
      <c r="BC165" s="582"/>
      <c r="BD165" s="398"/>
      <c r="BE165" s="579"/>
      <c r="BF165" s="577"/>
      <c r="BG165" s="582"/>
      <c r="BH165" s="398"/>
      <c r="BI165" s="579"/>
      <c r="BJ165" s="138"/>
    </row>
    <row r="166" spans="1:62" ht="15" customHeight="1">
      <c r="A166" s="138"/>
      <c r="B166" s="530"/>
      <c r="C166" s="879" t="str">
        <f>IF(Tool!$H$7="Français",G166,IF(Tool!$H$7="Italiano",I166,E166))</f>
        <v>Wirtschaft</v>
      </c>
      <c r="D166" s="530"/>
      <c r="E166" s="531" t="s">
        <v>20</v>
      </c>
      <c r="F166" s="530"/>
      <c r="G166" s="534" t="s">
        <v>850</v>
      </c>
      <c r="H166" s="534"/>
      <c r="I166" s="534" t="s">
        <v>851</v>
      </c>
      <c r="J166" s="534"/>
      <c r="K166" s="895" t="str">
        <f>E166</f>
        <v>Wirtschaft</v>
      </c>
      <c r="L166" s="896"/>
      <c r="M166" s="896"/>
      <c r="N166" s="896"/>
      <c r="O166" s="896"/>
      <c r="P166" s="897"/>
      <c r="Q166" s="530"/>
      <c r="R166" s="898" t="s">
        <v>95</v>
      </c>
      <c r="S166" s="899"/>
      <c r="T166" s="899"/>
      <c r="U166" s="899"/>
      <c r="V166" s="899"/>
      <c r="W166" s="900"/>
      <c r="X166" s="530"/>
      <c r="Y166" s="2081" t="s">
        <v>95</v>
      </c>
      <c r="Z166" s="2082"/>
      <c r="AA166" s="2082"/>
      <c r="AB166" s="2082"/>
      <c r="AC166" s="2082"/>
      <c r="AD166" s="2083"/>
      <c r="AE166" s="138"/>
      <c r="AF166" s="409"/>
      <c r="AG166" s="769"/>
      <c r="AH166" s="771"/>
      <c r="AI166" s="769"/>
      <c r="AJ166" s="43">
        <f>1/4</f>
        <v>0.25</v>
      </c>
      <c r="AK166" s="43">
        <f t="shared" ref="AK166:AK168" si="29">AJ166*0.3</f>
        <v>7.4999999999999997E-2</v>
      </c>
      <c r="AL166" s="43">
        <v>0</v>
      </c>
      <c r="AM166" s="44"/>
      <c r="AN166" s="44"/>
      <c r="AO166" s="44" t="str">
        <f>IF(Check!S443=$AQ$4,AJ166,IF(Check!S443=$AQ$6,AK166,IF(OR(Check!S443=$AQ$5,AO164=""),AL166,"NB")))</f>
        <v>NB</v>
      </c>
      <c r="AP166" s="44"/>
      <c r="AQ166" s="44"/>
      <c r="AR166" s="44"/>
      <c r="AS166" s="41"/>
      <c r="AT166" s="41"/>
      <c r="AU166" s="41"/>
      <c r="AV166" s="442"/>
      <c r="AW166" s="44"/>
      <c r="AX166" s="41"/>
      <c r="AY166" s="42"/>
      <c r="AZ166" s="41"/>
      <c r="BA166" s="42"/>
      <c r="BB166" s="577"/>
      <c r="BC166" s="582"/>
      <c r="BD166" s="398"/>
      <c r="BE166" s="579"/>
      <c r="BF166" s="577"/>
      <c r="BG166" s="582"/>
      <c r="BH166" s="398"/>
      <c r="BI166" s="579"/>
      <c r="BJ166" s="138"/>
    </row>
    <row r="167" spans="1:62" ht="15" customHeight="1">
      <c r="A167" s="138"/>
      <c r="B167" s="528"/>
      <c r="C167" s="867" t="str">
        <f>IF(Tool!$H$7="Français",G167,IF(Tool!$H$7="Italiano",I167,E167))</f>
        <v>Lebenszyklus</v>
      </c>
      <c r="D167" s="528"/>
      <c r="E167" s="529" t="s">
        <v>849</v>
      </c>
      <c r="F167" s="528"/>
      <c r="G167" s="546" t="s">
        <v>847</v>
      </c>
      <c r="H167" s="546"/>
      <c r="I167" s="546" t="s">
        <v>848</v>
      </c>
      <c r="J167" s="533"/>
      <c r="K167" s="895" t="str">
        <f>E167</f>
        <v>Lebenszyklus</v>
      </c>
      <c r="L167" s="896"/>
      <c r="M167" s="896"/>
      <c r="N167" s="896"/>
      <c r="O167" s="896"/>
      <c r="P167" s="897"/>
      <c r="Q167" s="528"/>
      <c r="R167" s="892" t="str">
        <f>G167</f>
        <v>Cycle de vie</v>
      </c>
      <c r="S167" s="893"/>
      <c r="T167" s="893"/>
      <c r="U167" s="893"/>
      <c r="V167" s="893"/>
      <c r="W167" s="894"/>
      <c r="X167" s="528"/>
      <c r="Y167" s="2063" t="str">
        <f>I167</f>
        <v>Ciclo di vita</v>
      </c>
      <c r="Z167" s="2064"/>
      <c r="AA167" s="2064"/>
      <c r="AB167" s="2064"/>
      <c r="AC167" s="2064"/>
      <c r="AD167" s="2065"/>
      <c r="AE167" s="138"/>
      <c r="AF167" s="409"/>
      <c r="AG167" s="769"/>
      <c r="AH167" s="771"/>
      <c r="AI167" s="769"/>
      <c r="AJ167" s="1024">
        <f>1/4</f>
        <v>0.25</v>
      </c>
      <c r="AK167" s="43">
        <f t="shared" si="29"/>
        <v>7.4999999999999997E-2</v>
      </c>
      <c r="AL167" s="43">
        <v>0</v>
      </c>
      <c r="AM167" s="44"/>
      <c r="AN167" s="44"/>
      <c r="AO167" s="44" t="str">
        <f>IF(Check!S446=$AQ$4,AJ167,IF(Check!S446=$AQ$6,AK167,IF(OR(Check!S446=$AQ$5,AO164=""),AL167,"NB")))</f>
        <v>NB</v>
      </c>
      <c r="AP167" s="44"/>
      <c r="AQ167" s="44"/>
      <c r="AR167" s="44"/>
      <c r="AS167" s="41"/>
      <c r="AT167" s="41"/>
      <c r="AU167" s="41"/>
      <c r="AV167" s="442"/>
      <c r="AW167" s="44"/>
      <c r="AX167" s="41"/>
      <c r="AY167" s="42"/>
      <c r="AZ167" s="41"/>
      <c r="BA167" s="42"/>
      <c r="BB167" s="577"/>
      <c r="BC167" s="582"/>
      <c r="BD167" s="398"/>
      <c r="BE167" s="579"/>
      <c r="BF167" s="577"/>
      <c r="BG167" s="582"/>
      <c r="BH167" s="398"/>
      <c r="BI167" s="579"/>
      <c r="BJ167" s="138"/>
    </row>
    <row r="168" spans="1:62" ht="15" customHeight="1">
      <c r="A168" s="138"/>
      <c r="B168" s="523">
        <v>211</v>
      </c>
      <c r="C168" s="874" t="str">
        <f>IF(Tool!$H$7="Français",G168,IF(Tool!$H$7="Italiano",I168,E168))</f>
        <v>Werden Lebenszykluskosten (Erstellungskosten, Verwaltungs- und Betriebskosten, Instandsetzungskosten) für das Gebäude ermittelt oder mit expliziten Tools quantitativ oder qualitativ nachgewiesen?</v>
      </c>
      <c r="D168" s="523">
        <f>$B168</f>
        <v>211</v>
      </c>
      <c r="E168" s="949" t="s">
        <v>1406</v>
      </c>
      <c r="F168" s="523">
        <f>$B168</f>
        <v>211</v>
      </c>
      <c r="G168" s="525" t="s">
        <v>1800</v>
      </c>
      <c r="H168" s="523">
        <f>$B168</f>
        <v>211</v>
      </c>
      <c r="I168" s="525" t="s">
        <v>1407</v>
      </c>
      <c r="J168" s="523">
        <f>$B168</f>
        <v>211</v>
      </c>
      <c r="K168" s="950"/>
      <c r="L168" s="951"/>
      <c r="M168" s="951"/>
      <c r="N168" s="951"/>
      <c r="O168" s="952"/>
      <c r="P168" s="953"/>
      <c r="Q168" s="523">
        <f>$B168</f>
        <v>211</v>
      </c>
      <c r="R168" s="539"/>
      <c r="S168" s="540"/>
      <c r="T168" s="540"/>
      <c r="U168" s="540"/>
      <c r="V168" s="540"/>
      <c r="W168" s="541"/>
      <c r="X168" s="523">
        <f>$B168</f>
        <v>211</v>
      </c>
      <c r="Y168" s="539"/>
      <c r="Z168" s="540"/>
      <c r="AA168" s="540"/>
      <c r="AB168" s="540"/>
      <c r="AC168" s="540"/>
      <c r="AD168" s="541"/>
      <c r="AE168" s="138"/>
      <c r="AF168" s="409"/>
      <c r="AG168" s="769"/>
      <c r="AH168" s="771"/>
      <c r="AI168" s="769"/>
      <c r="AJ168" s="1024">
        <f>1/4</f>
        <v>0.25</v>
      </c>
      <c r="AK168" s="43">
        <f t="shared" si="29"/>
        <v>7.4999999999999997E-2</v>
      </c>
      <c r="AL168" s="43">
        <v>0</v>
      </c>
      <c r="AM168" s="44"/>
      <c r="AN168" s="44"/>
      <c r="AO168" s="44" t="str">
        <f>IF(Check!S449=$AQ$4,AJ168,IF(Check!S449=$AQ$6,AK168,IF(OR(Check!S449=$AQ$5,AO164=""),AL168,"NB")))</f>
        <v>NB</v>
      </c>
      <c r="AP168" s="44"/>
      <c r="AQ168" s="44"/>
      <c r="AR168" s="44"/>
      <c r="AS168" s="41"/>
      <c r="AT168" s="41"/>
      <c r="AU168" s="41"/>
      <c r="AV168" s="442"/>
      <c r="AW168" s="44"/>
      <c r="AX168" s="41"/>
      <c r="AY168" s="42"/>
      <c r="AZ168" s="41"/>
      <c r="BA168" s="42"/>
      <c r="BB168" s="577"/>
      <c r="BC168" s="582"/>
      <c r="BD168" s="398"/>
      <c r="BE168" s="579"/>
      <c r="BF168" s="577"/>
      <c r="BG168" s="582"/>
      <c r="BH168" s="398"/>
      <c r="BI168" s="579"/>
      <c r="BJ168" s="138"/>
    </row>
    <row r="169" spans="1:62" ht="15" customHeight="1">
      <c r="A169" s="138"/>
      <c r="B169" s="523"/>
      <c r="C169" s="874" t="str">
        <f>IF(Tool!$H$7="Français",G169,IF(Tool!$H$7="Italiano",I169,E169))</f>
        <v>Werden neben den Initialkosten auch langfristige Kosten zur Entscheidungsfindung untersucht?</v>
      </c>
      <c r="D169" s="523"/>
      <c r="E169" s="949" t="str">
        <f>IF(OR(AG$25=AF$6,AG$25=AF$7),K169,"Werden neben den Initialkosten auch langfristige Kosten zur Entscheidungsfindung untersucht?")</f>
        <v>Werden neben den Initialkosten auch langfristige Kosten zur Entscheidungsfindung untersucht?</v>
      </c>
      <c r="F169" s="523"/>
      <c r="G169" s="525" t="str">
        <f>IF(OR(AG$25=AF$6,AG$25=AF$7),R169,"En plus des coûts initiaux de base, les coûts du bâtiment sur le long terme ont-ils également été pris en compte lors de décisions sur la conception du projet ?")</f>
        <v>En plus des coûts initiaux de base, les coûts du bâtiment sur le long terme ont-ils également été pris en compte lors de décisions sur la conception du projet ?</v>
      </c>
      <c r="H169" s="525"/>
      <c r="I169" s="525" t="str">
        <f>IF(OR(AG$25=AF$6,AG$25=AF$7),Y169,"Oltre ai costi iniziali, vengono analizzati anche i costi a lungo termine ai fini decisionali?")</f>
        <v>Oltre ai costi iniziali, vengono analizzati anche i costi a lungo termine ai fini decisionali?</v>
      </c>
      <c r="J169" s="532"/>
      <c r="K169" s="950" t="s">
        <v>329</v>
      </c>
      <c r="L169" s="951"/>
      <c r="M169" s="951"/>
      <c r="N169" s="951"/>
      <c r="O169" s="951"/>
      <c r="P169" s="953"/>
      <c r="Q169" s="523"/>
      <c r="R169" s="542" t="s">
        <v>392</v>
      </c>
      <c r="S169" s="543"/>
      <c r="T169" s="543"/>
      <c r="U169" s="543"/>
      <c r="V169" s="543"/>
      <c r="W169" s="544"/>
      <c r="X169" s="523"/>
      <c r="Y169" s="542" t="s">
        <v>866</v>
      </c>
      <c r="Z169" s="543"/>
      <c r="AA169" s="543"/>
      <c r="AB169" s="543"/>
      <c r="AC169" s="543"/>
      <c r="AD169" s="544"/>
      <c r="AE169" s="138"/>
      <c r="AF169" s="824">
        <f>AQ35</f>
        <v>146</v>
      </c>
      <c r="AG169" s="818" t="str">
        <f>AR35</f>
        <v>Tageslicht</v>
      </c>
      <c r="AH169" s="1016"/>
      <c r="AI169" s="768"/>
      <c r="AJ169" s="519">
        <v>1</v>
      </c>
      <c r="AK169" s="519" t="s">
        <v>46</v>
      </c>
      <c r="AL169" s="520">
        <v>0</v>
      </c>
      <c r="AM169" s="1020"/>
      <c r="AN169" s="1020"/>
      <c r="AO169" s="1020" t="str">
        <f>IF(Check!S452=$AQ$4,AJ169,IF(OR(Check!S452=$AQ$6,Check!S452=$AQ$5),AL169,"NB"))</f>
        <v>NB</v>
      </c>
      <c r="AP169" s="1029" t="str">
        <f>IF(AG$40=AQ$4,1,"NB")</f>
        <v>NB</v>
      </c>
      <c r="AQ169" s="1020" t="str">
        <f>IF(AP169=1,1,
IF(AO169=1,1,
IF(COUNTIF(AO170:AO172,"NB"),"NB",
IF(SUM(AO170:AO172)&gt;1,1,
IF(AND(SUM(AO170:AO172)&gt;=0,SUM(AO170:AO172)&lt;=1),SUM(AO170:AO172),"NB")))))</f>
        <v>NB</v>
      </c>
      <c r="AR169" s="1020"/>
      <c r="AS169" s="1030" t="str">
        <f>IF(AQ169="NB","NB",AQ169)</f>
        <v>NB</v>
      </c>
      <c r="AT169" s="1022"/>
      <c r="AU169" s="1022"/>
      <c r="AV169" s="1026"/>
      <c r="AW169" s="1020"/>
      <c r="AX169" s="1022"/>
      <c r="AY169" s="1027"/>
      <c r="AZ169" s="1022"/>
      <c r="BA169" s="1027"/>
      <c r="BB169" s="577" t="str">
        <f>IF($AS$169="NB","",
IF($AS$169&gt;=0.85,AF169&amp;" "&amp;AG169&amp;"; ",""))</f>
        <v/>
      </c>
      <c r="BC169" s="582" t="str">
        <f>IF($AS$169="NB","",
IF(AND($AS$169&gt;=0.65,$AS$169&lt;0.85),AF169&amp;" "&amp;AG169&amp;"; ",""))</f>
        <v/>
      </c>
      <c r="BD169" s="398" t="str">
        <f>IF($AS$169="NB","",
IF(AND($AS$169&gt;=0.5,$AS$169&lt;0.65),AF169&amp;" "&amp;AG169&amp;"; ",""))</f>
        <v/>
      </c>
      <c r="BE169" s="579" t="str">
        <f>IF($AS$169="NB","",
IF($AS$169&lt;0.5,AF169&amp;" "&amp;AG169&amp;"; ",""))</f>
        <v/>
      </c>
      <c r="BF169" s="577" t="str">
        <f>IF($AS$169="NB","",
IF($AS$169&gt;=0.85,AF169&amp;" ",""))</f>
        <v/>
      </c>
      <c r="BG169" s="582" t="str">
        <f>IF($AS$169="NB","",
IF(AND($AS$169&gt;=0.65,$AS$169&lt;0.85),AF169&amp;" ",""))</f>
        <v/>
      </c>
      <c r="BH169" s="398" t="str">
        <f>IF($AS$169="NB","",
IF(AND($AS$169&gt;=0.5,$AS$169&lt;0.65),AF169&amp;" ",""))</f>
        <v/>
      </c>
      <c r="BI169" s="579" t="str">
        <f>IF($AS$169="NB","",
IF($AS$169&lt;0.5,AF169&amp;" ",""))</f>
        <v/>
      </c>
      <c r="BJ169" s="138"/>
    </row>
    <row r="170" spans="1:62" ht="15" customHeight="1">
      <c r="A170" s="138"/>
      <c r="B170" s="523"/>
      <c r="C170" s="874" t="str">
        <f>IF(Tool!$H$7="Français",G170,IF(Tool!$H$7="Italiano",I170,E170))</f>
        <v>Werden die Kosten des Lebenszyklus für das Projekt angemessen betrachtet (Erstellungskosten, Verwaltungs- und Betriebskosten, Instandsetzungskosten; mindestens 50 Jahre)?</v>
      </c>
      <c r="D170" s="523"/>
      <c r="E170" s="949" t="str">
        <f>IF(OR(AG$25=AF$6,AG$25=AF$7),K170,"Werden die Kosten des Lebenszyklus für das Projekt angemessen betrachtet (Erstellungskosten, Verwaltungs- und Betriebskosten, Instandsetzungskosten; mindestens 50 Jahre)?")</f>
        <v>Werden die Kosten des Lebenszyklus für das Projekt angemessen betrachtet (Erstellungskosten, Verwaltungs- und Betriebskosten, Instandsetzungskosten; mindestens 50 Jahre)?</v>
      </c>
      <c r="F170" s="523"/>
      <c r="G170" s="525" t="str">
        <f>IF(OR(AG$25=AF$6,AG$25=AF$7),R170,"Les coûts du cycle de vie du bâtiment sont-ils considérés de manière appropriée (coûts de réalisation, coûts d’administration et d’exploitation, coûts de réparations; au moins pour 50 ans) ?")</f>
        <v>Les coûts du cycle de vie du bâtiment sont-ils considérés de manière appropriée (coûts de réalisation, coûts d’administration et d’exploitation, coûts de réparations; au moins pour 50 ans) ?</v>
      </c>
      <c r="H170" s="525"/>
      <c r="I170" s="525" t="str">
        <f>IF(OR(AG$25=AF$6,AG$25=AF$7),Y170,"I costi del ciclo di vita del progetto sono analizzati in modo appropriato (costi di costruzione, di gestione e di esercizio e di manutenzione, almeno 50 anni)? ")</f>
        <v xml:space="preserve">I costi del ciclo di vita del progetto sono analizzati in modo appropriato (costi di costruzione, di gestione e di esercizio e di manutenzione, almeno 50 anni)? </v>
      </c>
      <c r="J170" s="532"/>
      <c r="K170" s="950" t="s">
        <v>1411</v>
      </c>
      <c r="L170" s="951"/>
      <c r="M170" s="951"/>
      <c r="N170" s="951"/>
      <c r="O170" s="951"/>
      <c r="P170" s="953"/>
      <c r="Q170" s="523"/>
      <c r="R170" s="542" t="s">
        <v>1810</v>
      </c>
      <c r="S170" s="543"/>
      <c r="T170" s="543"/>
      <c r="U170" s="543"/>
      <c r="V170" s="543"/>
      <c r="W170" s="544"/>
      <c r="X170" s="523"/>
      <c r="Y170" s="971" t="s">
        <v>1812</v>
      </c>
      <c r="Z170" s="543"/>
      <c r="AA170" s="543"/>
      <c r="AB170" s="543"/>
      <c r="AC170" s="543"/>
      <c r="AD170" s="544"/>
      <c r="AE170" s="138" t="s">
        <v>28</v>
      </c>
      <c r="AF170" s="335"/>
      <c r="AG170" s="340"/>
      <c r="AH170" s="766"/>
      <c r="AI170" s="340"/>
      <c r="AJ170" s="43">
        <f>AJ169/3</f>
        <v>0.33333333333333331</v>
      </c>
      <c r="AK170" s="43">
        <f>AJ170*0.3</f>
        <v>9.9999999999999992E-2</v>
      </c>
      <c r="AL170" s="43">
        <v>0</v>
      </c>
      <c r="AM170" s="44"/>
      <c r="AN170" s="44"/>
      <c r="AO170" s="44" t="str">
        <f>IF(Check!S455=$AQ$4,AJ170,IF(Check!S455=$AQ$6,AK170,IF(OR(Check!S455=$AQ$5,AO169=""),AL170,"NB")))</f>
        <v>NB</v>
      </c>
      <c r="AP170" s="44"/>
      <c r="AQ170" s="44"/>
      <c r="AR170" s="44"/>
      <c r="AS170" s="141"/>
      <c r="AT170" s="41"/>
      <c r="AU170" s="41"/>
      <c r="AV170" s="442"/>
      <c r="AW170" s="44"/>
      <c r="AX170" s="41"/>
      <c r="AY170" s="42"/>
      <c r="AZ170" s="41"/>
      <c r="BA170" s="42"/>
      <c r="BB170" s="577"/>
      <c r="BC170" s="582"/>
      <c r="BD170" s="398"/>
      <c r="BE170" s="579"/>
      <c r="BF170" s="577"/>
      <c r="BG170" s="582"/>
      <c r="BH170" s="398"/>
      <c r="BI170" s="579"/>
      <c r="BJ170" s="138"/>
    </row>
    <row r="171" spans="1:62" ht="15" customHeight="1">
      <c r="A171" s="138"/>
      <c r="B171" s="523"/>
      <c r="C171" s="874" t="str">
        <f>IF(Tool!$H$7="Français",G171,IF(Tool!$H$7="Italiano",I171,E171))</f>
        <v>Fliessen Gedanken zur künftigen Reinigung und Pflege des Gebäudes mit in die Kostenermittlung ein?</v>
      </c>
      <c r="D171" s="523"/>
      <c r="E171" s="949" t="s">
        <v>330</v>
      </c>
      <c r="F171" s="523"/>
      <c r="G171" s="525" t="s">
        <v>1801</v>
      </c>
      <c r="H171" s="525"/>
      <c r="I171" s="525" t="s">
        <v>867</v>
      </c>
      <c r="J171" s="532"/>
      <c r="K171" s="950"/>
      <c r="L171" s="951"/>
      <c r="M171" s="951"/>
      <c r="N171" s="951"/>
      <c r="O171" s="951"/>
      <c r="P171" s="953"/>
      <c r="Q171" s="523"/>
      <c r="R171" s="542"/>
      <c r="S171" s="543"/>
      <c r="T171" s="543"/>
      <c r="U171" s="543"/>
      <c r="V171" s="543"/>
      <c r="W171" s="544"/>
      <c r="X171" s="523"/>
      <c r="Y171" s="542"/>
      <c r="Z171" s="543"/>
      <c r="AA171" s="543"/>
      <c r="AB171" s="543"/>
      <c r="AC171" s="543"/>
      <c r="AD171" s="544"/>
      <c r="AE171" s="138" t="s">
        <v>28</v>
      </c>
      <c r="AF171" s="335"/>
      <c r="AG171" s="340"/>
      <c r="AH171" s="766"/>
      <c r="AI171" s="340"/>
      <c r="AJ171" s="43">
        <f>AJ169/3</f>
        <v>0.33333333333333331</v>
      </c>
      <c r="AK171" s="43">
        <f t="shared" ref="AK171:AK172" si="30">AJ171*0.3</f>
        <v>9.9999999999999992E-2</v>
      </c>
      <c r="AL171" s="43">
        <v>0</v>
      </c>
      <c r="AM171" s="44"/>
      <c r="AN171" s="44"/>
      <c r="AO171" s="44" t="str">
        <f>IF(Check!S458=$AQ$4,AJ171,IF(Check!S458=$AQ$6,AK171,IF(OR(Check!S458=$AQ$5,AO169=""),AL171,"NB")))</f>
        <v>NB</v>
      </c>
      <c r="AP171" s="44"/>
      <c r="AQ171" s="44"/>
      <c r="AR171" s="44"/>
      <c r="AS171" s="141"/>
      <c r="AT171" s="41"/>
      <c r="AU171" s="41"/>
      <c r="AV171" s="442"/>
      <c r="AW171" s="44"/>
      <c r="AX171" s="41"/>
      <c r="AY171" s="42"/>
      <c r="AZ171" s="41"/>
      <c r="BA171" s="42"/>
      <c r="BB171" s="577"/>
      <c r="BC171" s="582"/>
      <c r="BD171" s="398"/>
      <c r="BE171" s="579"/>
      <c r="BF171" s="577"/>
      <c r="BG171" s="582"/>
      <c r="BH171" s="398"/>
      <c r="BI171" s="579"/>
      <c r="BJ171" s="138"/>
    </row>
    <row r="172" spans="1:62" ht="15" customHeight="1">
      <c r="A172" s="138"/>
      <c r="B172" s="642" t="str">
        <f>IF(OR(Tool!H$7="Deutsch",Tool!H$7=""),"K211","C211")</f>
        <v>K211</v>
      </c>
      <c r="C172" s="872" t="str">
        <f>IF(Tool!$H$7="Français",G172,IF(Tool!$H$7="Italiano",I172,E172))</f>
        <v>Werden die zu erwartenden Auswirkungen des Klimawandels, insbesondere für die Kühllast und den Unterhalt infolge Witterungsschäden, bei den Lebenszykluskosten und im Betriebskonzept berücksichtigt?</v>
      </c>
      <c r="D172" s="642" t="str">
        <f>$B172</f>
        <v>K211</v>
      </c>
      <c r="E172" s="940" t="s">
        <v>493</v>
      </c>
      <c r="F172" s="642" t="str">
        <f>$B172</f>
        <v>K211</v>
      </c>
      <c r="G172" s="671" t="s">
        <v>502</v>
      </c>
      <c r="H172" s="642" t="str">
        <f>$B172</f>
        <v>K211</v>
      </c>
      <c r="I172" s="671" t="s">
        <v>869</v>
      </c>
      <c r="J172" s="642" t="str">
        <f>$B172</f>
        <v>K211</v>
      </c>
      <c r="K172" s="948"/>
      <c r="L172" s="941"/>
      <c r="M172" s="941"/>
      <c r="N172" s="941"/>
      <c r="O172" s="941"/>
      <c r="P172" s="942"/>
      <c r="Q172" s="642" t="str">
        <f>$B172</f>
        <v>K211</v>
      </c>
      <c r="R172" s="662"/>
      <c r="S172" s="663"/>
      <c r="T172" s="663"/>
      <c r="U172" s="663"/>
      <c r="V172" s="663"/>
      <c r="W172" s="664"/>
      <c r="X172" s="642" t="str">
        <f>$B172</f>
        <v>K211</v>
      </c>
      <c r="Y172" s="662"/>
      <c r="Z172" s="663"/>
      <c r="AA172" s="663"/>
      <c r="AB172" s="663"/>
      <c r="AC172" s="663"/>
      <c r="AD172" s="664"/>
      <c r="AE172" s="310"/>
      <c r="AF172" s="335"/>
      <c r="AG172" s="340"/>
      <c r="AH172" s="766"/>
      <c r="AI172" s="340"/>
      <c r="AJ172" s="43">
        <f>AJ169/3</f>
        <v>0.33333333333333331</v>
      </c>
      <c r="AK172" s="43">
        <f t="shared" si="30"/>
        <v>9.9999999999999992E-2</v>
      </c>
      <c r="AL172" s="43">
        <v>0</v>
      </c>
      <c r="AM172" s="44"/>
      <c r="AN172" s="44"/>
      <c r="AO172" s="44" t="str">
        <f>IF(Check!S461=$AQ$4,AJ172,IF(Check!S461=$AQ$6,AK172,IF(OR(Check!S461=$AQ$5,AO169=""),AL172,"NB")))</f>
        <v>NB</v>
      </c>
      <c r="AP172" s="44"/>
      <c r="AQ172" s="44"/>
      <c r="AR172" s="44"/>
      <c r="AS172" s="141"/>
      <c r="AT172" s="41"/>
      <c r="AU172" s="41"/>
      <c r="AV172" s="442"/>
      <c r="AW172" s="44"/>
      <c r="AX172" s="41"/>
      <c r="AY172" s="42"/>
      <c r="AZ172" s="41"/>
      <c r="BA172" s="42"/>
      <c r="BB172" s="577"/>
      <c r="BC172" s="582"/>
      <c r="BD172" s="398"/>
      <c r="BE172" s="579"/>
      <c r="BF172" s="577"/>
      <c r="BG172" s="582"/>
      <c r="BH172" s="398"/>
      <c r="BI172" s="579"/>
      <c r="BJ172" s="138"/>
    </row>
    <row r="173" spans="1:62" ht="15" customHeight="1">
      <c r="A173" s="138"/>
      <c r="B173" s="642"/>
      <c r="C173" s="872" t="str">
        <f>IF(Tool!$H$7="Français",G173,IF(Tool!$H$7="Italiano",I173,E173))</f>
        <v>Werden in den Lebenszykluskosten finanzielle Aufwände in Zusammenhang mit der thermischen Behaglichkeit, insbesondere für die (künftige) Kühlung, untersucht und mitberücksichtigt?</v>
      </c>
      <c r="D173" s="642"/>
      <c r="E173" s="940" t="s">
        <v>494</v>
      </c>
      <c r="F173" s="642"/>
      <c r="G173" s="940" t="s">
        <v>503</v>
      </c>
      <c r="H173" s="940"/>
      <c r="I173" s="940" t="s">
        <v>870</v>
      </c>
      <c r="J173" s="661"/>
      <c r="K173" s="948"/>
      <c r="L173" s="941"/>
      <c r="M173" s="941"/>
      <c r="N173" s="941"/>
      <c r="O173" s="941"/>
      <c r="P173" s="942"/>
      <c r="Q173" s="642"/>
      <c r="R173" s="662"/>
      <c r="S173" s="663"/>
      <c r="T173" s="663"/>
      <c r="U173" s="663"/>
      <c r="V173" s="663"/>
      <c r="W173" s="664"/>
      <c r="X173" s="642"/>
      <c r="Y173" s="662"/>
      <c r="Z173" s="663"/>
      <c r="AA173" s="663"/>
      <c r="AB173" s="663"/>
      <c r="AC173" s="663"/>
      <c r="AD173" s="664"/>
      <c r="AE173" s="138" t="s">
        <v>28</v>
      </c>
      <c r="AF173" s="1006" t="str">
        <f>AT$32</f>
        <v>K146</v>
      </c>
      <c r="AG173" s="1003" t="str">
        <f>AU32</f>
        <v>Visueller Komfort im Klimawandel</v>
      </c>
      <c r="AH173" s="1007"/>
      <c r="AI173" s="1003"/>
      <c r="AJ173" s="1008">
        <v>1</v>
      </c>
      <c r="AK173" s="1008" t="s">
        <v>46</v>
      </c>
      <c r="AL173" s="1008">
        <v>0</v>
      </c>
      <c r="AM173" s="1012"/>
      <c r="AN173" s="1012"/>
      <c r="AO173" s="1023" t="str">
        <f>IF(Check!S464=$AQ$4,AJ173,IF(OR(Check!S464=$AQ$6,Check!S464=$AQ$5),AL173,"NB"))</f>
        <v>NB</v>
      </c>
      <c r="AP173" s="1012"/>
      <c r="AQ173" s="1012"/>
      <c r="AR173" s="1012"/>
      <c r="AS173" s="1012"/>
      <c r="AT173" s="1012"/>
      <c r="AU173" s="1012"/>
      <c r="AV173" s="1009" t="str">
        <f>IF(AP173=1,1,
IF(AO173=1,1,
IF(COUNTIF(AO174:AO176,"NB"),"NB",
IF(SUM(AO174:AO176)&gt;1,1,
IF(AND(SUM(AO174:AO176)&gt;=0,SUM(AO174:AO176)&lt;=1),SUM(AO174:AO176),"NB")))))</f>
        <v>NB</v>
      </c>
      <c r="AW173" s="655" t="str">
        <f>IF(AV173="NB","NB",AV173)</f>
        <v>NB</v>
      </c>
      <c r="AX173" s="1012"/>
      <c r="AY173" s="1035"/>
      <c r="AZ173" s="1488" t="str">
        <f>AW173</f>
        <v>NB</v>
      </c>
      <c r="BA173" s="1035"/>
      <c r="BB173" s="577" t="str">
        <f>IF($AW$173="NB","",
IF($AW$173&gt;=0.85,AF173&amp;" "&amp;AG173&amp;"; ",""))</f>
        <v/>
      </c>
      <c r="BC173" s="582" t="str">
        <f>IF($AW$173="NB","",
IF(AND($AW$173&gt;=0.65,$AW$173&lt;0.85),AF173&amp;" "&amp;AG173&amp;"; ",""))</f>
        <v/>
      </c>
      <c r="BD173" s="398" t="str">
        <f>IF($AW$173="NB","",
IF(AND($AW$173&gt;=0.5,$AW$173&lt;0.65),AF173&amp;" "&amp;AG173&amp;"; ",""))</f>
        <v/>
      </c>
      <c r="BE173" s="579" t="str">
        <f>IF($AW$173="NB","",
IF($AW$173&lt;0.5,AF173&amp;" "&amp;AG173&amp;"; ",""))</f>
        <v/>
      </c>
      <c r="BF173" s="577" t="str">
        <f>IF($AW$173="NB","",
IF($AW$173&gt;=0.85,AF173&amp;" ",""))</f>
        <v/>
      </c>
      <c r="BG173" s="582" t="str">
        <f>IF($AW$173="NB","",
IF(AND($AW$173&gt;=0.65,$AW$173&lt;0.85),AF173&amp;" ",""))</f>
        <v/>
      </c>
      <c r="BH173" s="398" t="str">
        <f>IF($AW$173="NB","",
IF(AND($AW$173&gt;=0.5,$AW$173&lt;0.65),AF173&amp;" ",""))</f>
        <v/>
      </c>
      <c r="BI173" s="579" t="str">
        <f>IF($AW$173="NB","",
IF($AW$173&lt;0.5,AF173&amp;" ",""))</f>
        <v/>
      </c>
      <c r="BJ173" s="138"/>
    </row>
    <row r="174" spans="1:62" ht="15" customHeight="1">
      <c r="A174" s="310"/>
      <c r="B174" s="642"/>
      <c r="C174" s="872" t="str">
        <f>IF(Tool!$H$7="Français",G174,IF(Tool!$H$7="Italiano",I174,E174))</f>
        <v xml:space="preserve">Werden in den Lebenszykluskosten finanzielle Aufwände für den Fassadenunterhalt (intensivere Niederschläge und Winde) untersucht und mitberücksichtigt? </v>
      </c>
      <c r="D174" s="642"/>
      <c r="E174" s="940" t="s">
        <v>868</v>
      </c>
      <c r="F174" s="642"/>
      <c r="G174" s="940" t="s">
        <v>1802</v>
      </c>
      <c r="H174" s="940"/>
      <c r="I174" s="940" t="s">
        <v>871</v>
      </c>
      <c r="J174" s="661"/>
      <c r="K174" s="948"/>
      <c r="L174" s="941"/>
      <c r="M174" s="941"/>
      <c r="N174" s="941"/>
      <c r="O174" s="941"/>
      <c r="P174" s="942"/>
      <c r="Q174" s="642"/>
      <c r="R174" s="662"/>
      <c r="S174" s="663"/>
      <c r="T174" s="663"/>
      <c r="U174" s="663"/>
      <c r="V174" s="663"/>
      <c r="W174" s="664"/>
      <c r="X174" s="642"/>
      <c r="Y174" s="662"/>
      <c r="Z174" s="663"/>
      <c r="AA174" s="663"/>
      <c r="AB174" s="663"/>
      <c r="AC174" s="663"/>
      <c r="AD174" s="664"/>
      <c r="AE174" s="138" t="s">
        <v>28</v>
      </c>
      <c r="AF174" s="409"/>
      <c r="AG174" s="769"/>
      <c r="AH174" s="771"/>
      <c r="AI174" s="769"/>
      <c r="AJ174" s="43">
        <f>AJ173/3</f>
        <v>0.33333333333333331</v>
      </c>
      <c r="AK174" s="43">
        <f>AJ174*0.3</f>
        <v>9.9999999999999992E-2</v>
      </c>
      <c r="AL174" s="43">
        <v>0</v>
      </c>
      <c r="AM174" s="44"/>
      <c r="AN174" s="44"/>
      <c r="AO174" s="44" t="str">
        <f>IF(Check!S467=$AQ$4,AJ174,IF(Check!S467=$AQ$6,AK174,IF(OR(Check!S467=$AQ$5,AO173=""),AL174,"NB")))</f>
        <v>NB</v>
      </c>
      <c r="AP174" s="981"/>
      <c r="AQ174" s="44"/>
      <c r="AR174" s="44"/>
      <c r="AS174" s="146"/>
      <c r="AT174" s="41"/>
      <c r="AU174" s="41"/>
      <c r="AV174" s="442"/>
      <c r="AW174" s="44"/>
      <c r="AX174" s="41"/>
      <c r="AY174" s="42"/>
      <c r="AZ174" s="41"/>
      <c r="BA174" s="42"/>
      <c r="BB174" s="577"/>
      <c r="BC174" s="582"/>
      <c r="BD174" s="398"/>
      <c r="BE174" s="579"/>
      <c r="BF174" s="577"/>
      <c r="BG174" s="582"/>
      <c r="BH174" s="398"/>
      <c r="BI174" s="579"/>
      <c r="BJ174" s="138"/>
    </row>
    <row r="175" spans="1:62" ht="15" customHeight="1">
      <c r="A175" s="138"/>
      <c r="B175" s="642"/>
      <c r="C175" s="872" t="str">
        <f>IF(Tool!$H$7="Français",G175,IF(Tool!$H$7="Italiano",I175,E175))</f>
        <v>Sind klimawandelspezifische Massnahmen wie die Minimierung von Überhitzungsstunden in den Innenräumen (z. B. Automatisierung der Nachtauskühlung, Sensibilisierung der Nutzenden) Teil des Betriebskonzepts des Gebäudes?</v>
      </c>
      <c r="D175" s="642"/>
      <c r="E175" s="940" t="s">
        <v>752</v>
      </c>
      <c r="F175" s="642"/>
      <c r="G175" s="940" t="s">
        <v>504</v>
      </c>
      <c r="H175" s="940"/>
      <c r="I175" s="940" t="s">
        <v>872</v>
      </c>
      <c r="J175" s="661"/>
      <c r="K175" s="948"/>
      <c r="L175" s="941"/>
      <c r="M175" s="941"/>
      <c r="N175" s="941"/>
      <c r="O175" s="941"/>
      <c r="P175" s="942"/>
      <c r="Q175" s="642"/>
      <c r="R175" s="662"/>
      <c r="S175" s="663"/>
      <c r="T175" s="663"/>
      <c r="U175" s="663"/>
      <c r="V175" s="663"/>
      <c r="W175" s="664"/>
      <c r="X175" s="642"/>
      <c r="Y175" s="662"/>
      <c r="Z175" s="663"/>
      <c r="AA175" s="663"/>
      <c r="AB175" s="663"/>
      <c r="AC175" s="663"/>
      <c r="AD175" s="664"/>
      <c r="AE175" s="138" t="s">
        <v>28</v>
      </c>
      <c r="AF175" s="409"/>
      <c r="AG175" s="769"/>
      <c r="AH175" s="771"/>
      <c r="AI175" s="769"/>
      <c r="AJ175" s="43">
        <f>AJ173/3</f>
        <v>0.33333333333333331</v>
      </c>
      <c r="AK175" s="43">
        <f t="shared" ref="AK175:AK176" si="31">AJ175*0.3</f>
        <v>9.9999999999999992E-2</v>
      </c>
      <c r="AL175" s="43">
        <v>0</v>
      </c>
      <c r="AM175" s="44"/>
      <c r="AN175" s="44"/>
      <c r="AO175" s="44" t="str">
        <f>IF(Check!S470=$AQ$4,AJ175,IF(Check!S470=$AQ$6,AK175,IF(OR(Check!S470=$AQ$5,AO173=""),AL175,"NB")))</f>
        <v>NB</v>
      </c>
      <c r="AP175" s="981"/>
      <c r="AQ175" s="44"/>
      <c r="AR175" s="44"/>
      <c r="AS175" s="146"/>
      <c r="AT175" s="41"/>
      <c r="AU175" s="41"/>
      <c r="AV175" s="442"/>
      <c r="AW175" s="44"/>
      <c r="AX175" s="41"/>
      <c r="AY175" s="42"/>
      <c r="AZ175" s="41"/>
      <c r="BA175" s="42"/>
      <c r="BB175" s="577"/>
      <c r="BC175" s="582"/>
      <c r="BD175" s="398"/>
      <c r="BE175" s="579"/>
      <c r="BF175" s="577"/>
      <c r="BG175" s="582"/>
      <c r="BH175" s="398"/>
      <c r="BI175" s="579"/>
      <c r="BJ175" s="138"/>
    </row>
    <row r="176" spans="1:62" ht="15" customHeight="1">
      <c r="A176" s="138"/>
      <c r="B176" s="523">
        <v>212</v>
      </c>
      <c r="C176" s="874" t="str">
        <f>IF(Tool!$H$7="Français",G176,IF(Tool!$H$7="Italiano",I176,E176))</f>
        <v>Wird das Prinzip der bewirtschaftungsgerechten Planung und Realisierung (gemäss Empfehlung SIA 113) in allen Planungsphasen verfolgt, indem pbFM-Leistungen (planungs- und baubegleitenden Facility Management) phasengerecht umgesetzt werden?</v>
      </c>
      <c r="D176" s="523">
        <f>$B176</f>
        <v>212</v>
      </c>
      <c r="E176" s="949" t="s">
        <v>873</v>
      </c>
      <c r="F176" s="523">
        <f>$B176</f>
        <v>212</v>
      </c>
      <c r="G176" s="525" t="s">
        <v>1803</v>
      </c>
      <c r="H176" s="523">
        <f>$B176</f>
        <v>212</v>
      </c>
      <c r="I176" s="525" t="s">
        <v>884</v>
      </c>
      <c r="J176" s="523">
        <f>$B176</f>
        <v>212</v>
      </c>
      <c r="K176" s="950"/>
      <c r="L176" s="951"/>
      <c r="M176" s="951"/>
      <c r="N176" s="951"/>
      <c r="O176" s="951"/>
      <c r="P176" s="953"/>
      <c r="Q176" s="523">
        <f>$B176</f>
        <v>212</v>
      </c>
      <c r="R176" s="542"/>
      <c r="S176" s="543"/>
      <c r="T176" s="543"/>
      <c r="U176" s="543"/>
      <c r="V176" s="543"/>
      <c r="W176" s="544"/>
      <c r="X176" s="523">
        <f>$B176</f>
        <v>212</v>
      </c>
      <c r="Y176" s="542"/>
      <c r="Z176" s="543"/>
      <c r="AA176" s="543"/>
      <c r="AB176" s="543"/>
      <c r="AC176" s="543"/>
      <c r="AD176" s="544"/>
      <c r="AE176" s="138" t="s">
        <v>28</v>
      </c>
      <c r="AF176" s="335"/>
      <c r="AG176" s="340"/>
      <c r="AH176" s="766"/>
      <c r="AI176" s="340"/>
      <c r="AJ176" s="43">
        <f>AJ173/3</f>
        <v>0.33333333333333331</v>
      </c>
      <c r="AK176" s="43">
        <f t="shared" si="31"/>
        <v>9.9999999999999992E-2</v>
      </c>
      <c r="AL176" s="43">
        <v>0</v>
      </c>
      <c r="AM176" s="44"/>
      <c r="AN176" s="44"/>
      <c r="AO176" s="44" t="str">
        <f>IF(Check!S473=$AQ$4,AJ176,IF(Check!S473=$AQ$6,AK176,IF(OR(Check!S473=$AQ$5,AO173=""),AL176,"NB")))</f>
        <v>NB</v>
      </c>
      <c r="AP176" s="44"/>
      <c r="AQ176" s="44"/>
      <c r="AR176" s="44"/>
      <c r="AS176" s="41"/>
      <c r="AT176" s="41"/>
      <c r="AU176" s="41"/>
      <c r="AV176" s="442"/>
      <c r="AW176" s="44"/>
      <c r="AX176" s="41"/>
      <c r="AY176" s="42"/>
      <c r="AZ176" s="41"/>
      <c r="BA176" s="42"/>
      <c r="BB176" s="577"/>
      <c r="BC176" s="582"/>
      <c r="BD176" s="398"/>
      <c r="BE176" s="579"/>
      <c r="BF176" s="577"/>
      <c r="BG176" s="582"/>
      <c r="BH176" s="398"/>
      <c r="BI176" s="579"/>
      <c r="BJ176" s="138"/>
    </row>
    <row r="177" spans="1:62" ht="15" customHeight="1">
      <c r="A177" s="138"/>
      <c r="B177" s="857"/>
      <c r="C177" s="874" t="str">
        <f>IF(Tool!$H$7="Français",G177,IF(Tool!$H$7="Italiano",I177,E177))</f>
        <v>Werden bewirtschaftungsrelevante Anforderungen bereits in der Phase der Vorstudien evaluiert und in einem Nutzungskonzept berücksichtigt? (z. B. Raumbedarf für FM, Wartungs- und Reinigungsfreundlichkeit)</v>
      </c>
      <c r="D177" s="523"/>
      <c r="E177" s="949" t="s">
        <v>877</v>
      </c>
      <c r="F177" s="523"/>
      <c r="G177" s="525" t="s">
        <v>1804</v>
      </c>
      <c r="H177" s="525"/>
      <c r="I177" s="525" t="s">
        <v>880</v>
      </c>
      <c r="J177" s="532"/>
      <c r="K177" s="950"/>
      <c r="L177" s="951"/>
      <c r="M177" s="951"/>
      <c r="N177" s="951"/>
      <c r="O177" s="951"/>
      <c r="P177" s="953"/>
      <c r="Q177" s="523"/>
      <c r="R177" s="542"/>
      <c r="S177" s="543"/>
      <c r="T177" s="543"/>
      <c r="U177" s="543"/>
      <c r="V177" s="543"/>
      <c r="W177" s="544"/>
      <c r="X177" s="523"/>
      <c r="Y177" s="542"/>
      <c r="Z177" s="543"/>
      <c r="AA177" s="543"/>
      <c r="AB177" s="543"/>
      <c r="AC177" s="543"/>
      <c r="AD177" s="544"/>
      <c r="AE177" s="138" t="s">
        <v>28</v>
      </c>
      <c r="AF177" s="824">
        <f>AQ36</f>
        <v>147</v>
      </c>
      <c r="AG177" s="818" t="str">
        <f>AR36</f>
        <v>Schallschutz</v>
      </c>
      <c r="AH177" s="1016"/>
      <c r="AI177" s="768"/>
      <c r="AJ177" s="519">
        <v>1</v>
      </c>
      <c r="AK177" s="519" t="s">
        <v>46</v>
      </c>
      <c r="AL177" s="520">
        <v>0</v>
      </c>
      <c r="AM177" s="1020"/>
      <c r="AN177" s="1020"/>
      <c r="AO177" s="1020" t="str">
        <f>IF(Check!S476=$AQ$4,AJ177,IF(OR(Check!S476=$AQ$5,Check!S476=$AQ$6),AL177,"NB"))</f>
        <v>NB</v>
      </c>
      <c r="AP177" s="1034"/>
      <c r="AQ177" s="1020" t="str">
        <f>IF(AP177=1,1,
IF(AO177=1,1,
IF(COUNTIF(AO178:AO181,"NB"),"NB",
IF(SUM(AO178:AO181)&gt;1,1,
IF(AND(SUM(AO178:AO181)&gt;=0,SUM(AO178:AO181)&lt;=1),SUM(AO178:AO181),"NB")))))</f>
        <v>NB</v>
      </c>
      <c r="AR177" s="1020"/>
      <c r="AS177" s="1032" t="str">
        <f>IF(AQ177="NB","NB",AQ177)</f>
        <v>NB</v>
      </c>
      <c r="AT177" s="1022"/>
      <c r="AU177" s="1022"/>
      <c r="AV177" s="1026"/>
      <c r="AW177" s="1020"/>
      <c r="AX177" s="1022"/>
      <c r="AY177" s="1027"/>
      <c r="AZ177" s="1022"/>
      <c r="BA177" s="1027"/>
      <c r="BB177" s="577" t="str">
        <f>IF($AS$177="NB","",
IF($AS$177&gt;=0.85,AF177&amp;" "&amp;AG177&amp;"; ",""))</f>
        <v/>
      </c>
      <c r="BC177" s="582" t="str">
        <f>IF($AS$177="NB","",
IF(AND($AS$177&gt;=0.65,$AS$177&lt;0.85),AF177&amp;" "&amp;AG177&amp;"; ",""))</f>
        <v/>
      </c>
      <c r="BD177" s="398" t="str">
        <f>IF($AS$177="NB","",
IF(AND($AS$177&gt;=0.5,$AS$177&lt;0.65),AF177&amp;" "&amp;AG177&amp;"; ",""))</f>
        <v/>
      </c>
      <c r="BE177" s="579" t="str">
        <f>IF($AS$177="NB","",
IF($AS$177&lt;0.5,AF177&amp;" "&amp;AG177&amp;"; ",""))</f>
        <v/>
      </c>
      <c r="BF177" s="577" t="str">
        <f>IF($AS$177="NB","",
IF($AS$177&gt;=0.85,AF177&amp;" ",""))</f>
        <v/>
      </c>
      <c r="BG177" s="582" t="str">
        <f>IF($AS$177="NB","",
IF(AND($AS$177&gt;=0.65,$AS$177&lt;0.85),AF177&amp;" ",""))</f>
        <v/>
      </c>
      <c r="BH177" s="398" t="str">
        <f>IF($AS$177="NB","",
IF(AND($AS$177&gt;=0.5,$AS$177&lt;0.65),AF177&amp;" ",""))</f>
        <v/>
      </c>
      <c r="BI177" s="579" t="str">
        <f>IF($AS$177="NB","",
IF($AS$177&lt;0.5,AF177&amp;" ",""))</f>
        <v/>
      </c>
      <c r="BJ177" s="138"/>
    </row>
    <row r="178" spans="1:62" ht="15" customHeight="1">
      <c r="A178" s="138"/>
      <c r="B178" s="857"/>
      <c r="C178" s="874" t="str">
        <f>IF(Tool!$H$7="Français",G178,IF(Tool!$H$7="Italiano",I178,E178))</f>
        <v>Werden in der Projektierungsphase betriebliche Aspekte bei der Überprüfung von Variantenvergleichen berücksichtigt? (z. B. Energieversorgung, Fassadengestaltung, Beleuchtung etc.)</v>
      </c>
      <c r="D178" s="523"/>
      <c r="E178" s="949" t="s">
        <v>874</v>
      </c>
      <c r="F178" s="523"/>
      <c r="G178" s="525" t="s">
        <v>878</v>
      </c>
      <c r="H178" s="525"/>
      <c r="I178" s="525" t="s">
        <v>881</v>
      </c>
      <c r="J178" s="532"/>
      <c r="K178" s="950"/>
      <c r="L178" s="951"/>
      <c r="M178" s="951"/>
      <c r="N178" s="951"/>
      <c r="O178" s="951"/>
      <c r="P178" s="953"/>
      <c r="Q178" s="523"/>
      <c r="R178" s="542"/>
      <c r="S178" s="543"/>
      <c r="T178" s="543"/>
      <c r="U178" s="543"/>
      <c r="V178" s="543"/>
      <c r="W178" s="544"/>
      <c r="X178" s="523"/>
      <c r="Y178" s="542"/>
      <c r="Z178" s="543"/>
      <c r="AA178" s="543"/>
      <c r="AB178" s="543"/>
      <c r="AC178" s="543"/>
      <c r="AD178" s="544"/>
      <c r="AE178" s="138" t="s">
        <v>28</v>
      </c>
      <c r="AF178" s="409"/>
      <c r="AG178" s="769"/>
      <c r="AH178" s="771"/>
      <c r="AI178" s="769"/>
      <c r="AJ178" s="43">
        <f>1/4</f>
        <v>0.25</v>
      </c>
      <c r="AK178" s="43">
        <f>AJ178*0.3</f>
        <v>7.4999999999999997E-2</v>
      </c>
      <c r="AL178" s="43">
        <v>0</v>
      </c>
      <c r="AM178" s="44"/>
      <c r="AN178" s="44"/>
      <c r="AO178" s="44" t="str">
        <f>IF(Check!S479=$AQ$4,AJ178,IF(Check!S479=$AQ$6,AK178,IF(OR(Check!S479=$AQ$5,AO177=""),AL178,"NB")))</f>
        <v>NB</v>
      </c>
      <c r="AP178" s="44"/>
      <c r="AQ178" s="44"/>
      <c r="AR178" s="44"/>
      <c r="AS178" s="41"/>
      <c r="AT178" s="41"/>
      <c r="AU178" s="41"/>
      <c r="AV178" s="442"/>
      <c r="AW178" s="44"/>
      <c r="AX178" s="41"/>
      <c r="AY178" s="42"/>
      <c r="AZ178" s="41"/>
      <c r="BA178" s="42"/>
      <c r="BB178" s="577"/>
      <c r="BC178" s="582"/>
      <c r="BD178" s="398"/>
      <c r="BE178" s="579"/>
      <c r="BF178" s="577"/>
      <c r="BG178" s="582"/>
      <c r="BH178" s="398"/>
      <c r="BI178" s="579"/>
      <c r="BJ178" s="138"/>
    </row>
    <row r="179" spans="1:62" ht="15" customHeight="1">
      <c r="A179" s="138"/>
      <c r="B179" s="857"/>
      <c r="C179" s="874" t="str">
        <f>IF(Tool!$H$7="Français",G179,IF(Tool!$H$7="Italiano",I179,E179))</f>
        <v>Werden in einem Betriebskonzept die bewirtschaftungsrelevanten Aufgaben und Zuständigkeiten klar definiert?</v>
      </c>
      <c r="D179" s="523"/>
      <c r="E179" s="949" t="s">
        <v>875</v>
      </c>
      <c r="F179" s="523"/>
      <c r="G179" s="525" t="s">
        <v>879</v>
      </c>
      <c r="H179" s="525"/>
      <c r="I179" s="525" t="s">
        <v>882</v>
      </c>
      <c r="J179" s="532"/>
      <c r="K179" s="950"/>
      <c r="L179" s="951"/>
      <c r="M179" s="951"/>
      <c r="N179" s="951"/>
      <c r="O179" s="951"/>
      <c r="P179" s="953"/>
      <c r="Q179" s="523"/>
      <c r="R179" s="542"/>
      <c r="S179" s="543"/>
      <c r="T179" s="543"/>
      <c r="U179" s="543"/>
      <c r="V179" s="543"/>
      <c r="W179" s="544"/>
      <c r="X179" s="523"/>
      <c r="Y179" s="542"/>
      <c r="Z179" s="543"/>
      <c r="AA179" s="543"/>
      <c r="AB179" s="543"/>
      <c r="AC179" s="543"/>
      <c r="AD179" s="544"/>
      <c r="AE179" s="138" t="s">
        <v>28</v>
      </c>
      <c r="AF179" s="409"/>
      <c r="AG179" s="769"/>
      <c r="AH179" s="771"/>
      <c r="AI179" s="769"/>
      <c r="AJ179" s="43">
        <f>1/4</f>
        <v>0.25</v>
      </c>
      <c r="AK179" s="43">
        <f t="shared" ref="AK179:AK181" si="32">AJ179*0.3</f>
        <v>7.4999999999999997E-2</v>
      </c>
      <c r="AL179" s="43">
        <v>0</v>
      </c>
      <c r="AM179" s="44"/>
      <c r="AN179" s="44"/>
      <c r="AO179" s="44" t="str">
        <f>IF(Check!S482=$AQ$4,AJ179,IF(Check!S482=$AQ$6,AK179,IF(OR(Check!S482=$AQ$5,AO177=""),AL179,"NB")))</f>
        <v>NB</v>
      </c>
      <c r="AP179" s="44"/>
      <c r="AQ179" s="44"/>
      <c r="AR179" s="44"/>
      <c r="AS179" s="41"/>
      <c r="AT179" s="41"/>
      <c r="AU179" s="41"/>
      <c r="AV179" s="442"/>
      <c r="AW179" s="44"/>
      <c r="AX179" s="41"/>
      <c r="AY179" s="42"/>
      <c r="AZ179" s="41"/>
      <c r="BA179" s="42"/>
      <c r="BB179" s="577"/>
      <c r="BC179" s="582"/>
      <c r="BD179" s="398"/>
      <c r="BE179" s="579"/>
      <c r="BF179" s="577"/>
      <c r="BG179" s="582"/>
      <c r="BH179" s="398"/>
      <c r="BI179" s="579"/>
      <c r="BJ179" s="138"/>
    </row>
    <row r="180" spans="1:62" ht="15" customHeight="1">
      <c r="A180" s="138"/>
      <c r="B180" s="857"/>
      <c r="C180" s="874" t="str">
        <f>IF(Tool!$H$7="Français",G180,IF(Tool!$H$7="Italiano",I180,E180))</f>
        <v xml:space="preserve">Wird bei Projektabschluss ein Handbuch mit Angaben zum Betrieb des Gebäudes (u.a. Reinigung, Entsorgung, Logistik) inkl. Wartungs- und Inspektionspläne erstellt? </v>
      </c>
      <c r="D180" s="523"/>
      <c r="E180" s="949" t="s">
        <v>876</v>
      </c>
      <c r="F180" s="523"/>
      <c r="G180" s="525" t="s">
        <v>1805</v>
      </c>
      <c r="H180" s="525"/>
      <c r="I180" s="525" t="s">
        <v>883</v>
      </c>
      <c r="J180" s="532"/>
      <c r="K180" s="950"/>
      <c r="L180" s="951"/>
      <c r="M180" s="951"/>
      <c r="N180" s="951"/>
      <c r="O180" s="951"/>
      <c r="P180" s="953"/>
      <c r="Q180" s="523"/>
      <c r="R180" s="542"/>
      <c r="S180" s="543"/>
      <c r="T180" s="543"/>
      <c r="U180" s="543"/>
      <c r="V180" s="543"/>
      <c r="W180" s="544"/>
      <c r="X180" s="523"/>
      <c r="Y180" s="542"/>
      <c r="Z180" s="543"/>
      <c r="AA180" s="543"/>
      <c r="AB180" s="543"/>
      <c r="AC180" s="543"/>
      <c r="AD180" s="544"/>
      <c r="AE180" s="138"/>
      <c r="AF180" s="409"/>
      <c r="AG180" s="769"/>
      <c r="AH180" s="771"/>
      <c r="AI180" s="769"/>
      <c r="AJ180" s="1024">
        <f>1/4</f>
        <v>0.25</v>
      </c>
      <c r="AK180" s="43">
        <f t="shared" si="32"/>
        <v>7.4999999999999997E-2</v>
      </c>
      <c r="AL180" s="43">
        <v>0</v>
      </c>
      <c r="AM180" s="44"/>
      <c r="AN180" s="44"/>
      <c r="AO180" s="44" t="str">
        <f>IF(Check!S485=$AQ$4,AJ180,IF(Check!S485=$AQ$6,AK180,IF(OR(Check!S485=$AQ$5,AO177=""),AL180,"NB")))</f>
        <v>NB</v>
      </c>
      <c r="AP180" s="44"/>
      <c r="AQ180" s="44"/>
      <c r="AR180" s="44"/>
      <c r="AS180" s="41"/>
      <c r="AT180" s="41"/>
      <c r="AU180" s="41"/>
      <c r="AV180" s="442"/>
      <c r="AW180" s="44"/>
      <c r="AX180" s="41"/>
      <c r="AY180" s="42"/>
      <c r="AZ180" s="41"/>
      <c r="BA180" s="42"/>
      <c r="BB180" s="577"/>
      <c r="BC180" s="582"/>
      <c r="BD180" s="398"/>
      <c r="BE180" s="579"/>
      <c r="BF180" s="577"/>
      <c r="BG180" s="582"/>
      <c r="BH180" s="398"/>
      <c r="BI180" s="579"/>
      <c r="BJ180" s="138"/>
    </row>
    <row r="181" spans="1:62" ht="15" customHeight="1">
      <c r="A181" s="138"/>
      <c r="B181" s="523">
        <v>213</v>
      </c>
      <c r="C181" s="874" t="str">
        <f>IF(Tool!$H$7="Français",G181,IF(Tool!$H$7="Italiano",I181,E181))</f>
        <v>Ist das Gebäude konsequent nach den Prinzipien der Systemtrennung und des zirkulären Bauens konzipiert, um den Austausch von Bauteilen entsprechend ihrem individuellen Lebenszyklus zu ermöglichen?</v>
      </c>
      <c r="D181" s="523">
        <f>$B181</f>
        <v>213</v>
      </c>
      <c r="E181" s="949" t="s">
        <v>885</v>
      </c>
      <c r="F181" s="523">
        <f>$B181</f>
        <v>213</v>
      </c>
      <c r="G181" s="525" t="s">
        <v>886</v>
      </c>
      <c r="H181" s="523">
        <f>$B181</f>
        <v>213</v>
      </c>
      <c r="I181" s="525" t="s">
        <v>896</v>
      </c>
      <c r="J181" s="523">
        <f>$B181</f>
        <v>213</v>
      </c>
      <c r="K181" s="950"/>
      <c r="L181" s="951"/>
      <c r="M181" s="951"/>
      <c r="N181" s="951"/>
      <c r="O181" s="951"/>
      <c r="P181" s="953"/>
      <c r="Q181" s="523">
        <f>$B181</f>
        <v>213</v>
      </c>
      <c r="R181" s="950"/>
      <c r="S181" s="543"/>
      <c r="T181" s="543"/>
      <c r="U181" s="543"/>
      <c r="V181" s="543"/>
      <c r="W181" s="544"/>
      <c r="X181" s="523">
        <f>$B181</f>
        <v>213</v>
      </c>
      <c r="Y181" s="950"/>
      <c r="Z181" s="543"/>
      <c r="AA181" s="543"/>
      <c r="AB181" s="543"/>
      <c r="AC181" s="543"/>
      <c r="AD181" s="544"/>
      <c r="AE181" s="138"/>
      <c r="AF181" s="411"/>
      <c r="AG181" s="773"/>
      <c r="AH181" s="774"/>
      <c r="AI181" s="773"/>
      <c r="AJ181" s="1025">
        <f>1/4</f>
        <v>0.25</v>
      </c>
      <c r="AK181" s="406">
        <f t="shared" si="32"/>
        <v>7.4999999999999997E-2</v>
      </c>
      <c r="AL181" s="406">
        <v>0</v>
      </c>
      <c r="AM181" s="39"/>
      <c r="AN181" s="39"/>
      <c r="AO181" s="39" t="str">
        <f>IF(Check!S488=$AQ$4,AJ181,IF(Check!S488=$AQ$6,AK181,IF(OR(Check!S488=$AQ$5,AO177=""),AL181,"NB")))</f>
        <v>NB</v>
      </c>
      <c r="AP181" s="39"/>
      <c r="AQ181" s="39"/>
      <c r="AR181" s="39"/>
      <c r="AS181" s="40"/>
      <c r="AT181" s="40"/>
      <c r="AU181" s="40"/>
      <c r="AV181" s="443"/>
      <c r="AW181" s="39"/>
      <c r="AX181" s="40"/>
      <c r="AY181" s="45"/>
      <c r="AZ181" s="40"/>
      <c r="BA181" s="45"/>
      <c r="BB181" s="703"/>
      <c r="BC181" s="583"/>
      <c r="BD181" s="408"/>
      <c r="BE181" s="580"/>
      <c r="BF181" s="703"/>
      <c r="BG181" s="583"/>
      <c r="BH181" s="408"/>
      <c r="BI181" s="580"/>
      <c r="BJ181" s="138"/>
    </row>
    <row r="182" spans="1:62" ht="15" customHeight="1">
      <c r="A182" s="138"/>
      <c r="B182" s="857"/>
      <c r="C182" s="874" t="str">
        <f>IF(Tool!$H$7="Français",G182,IF(Tool!$H$7="Italiano",I182,E182))</f>
        <v>Ist die Zugänglichkeit zu horizontalen und vertikalen Haustechnik-Installationen (Lüftung und Sanitär) ohne bedeutenden baulichen Aufwand möglich?</v>
      </c>
      <c r="D182" s="523"/>
      <c r="E182" s="949" t="str">
        <f>IF(OR(AG$25=AF$6,AG$25=AF$7),K182,"Ist die Zugänglichkeit zu horizontalen und vertikalen Haustechnik-Installationen (Lüftung und Sanitär) ohne bedeutenden baulichen Aufwand möglich?")</f>
        <v>Ist die Zugänglichkeit zu horizontalen und vertikalen Haustechnik-Installationen (Lüftung und Sanitär) ohne bedeutenden baulichen Aufwand möglich?</v>
      </c>
      <c r="F182" s="523"/>
      <c r="G182" s="525" t="str">
        <f>IF(OR(AG$25=AF$6,AG$25=AF$7),R182,"Les installations techniques horizontales et verticales (ventilation et sanitaire) sont-elles accessibles sans mesures constructives conséquentes ?")</f>
        <v>Les installations techniques horizontales et verticales (ventilation et sanitaire) sont-elles accessibles sans mesures constructives conséquentes ?</v>
      </c>
      <c r="H182" s="525"/>
      <c r="I182" s="525" t="str">
        <f>IF(OR(AG$25=AF$6,AG$25=AF$7),Y182,"È possibile accedere agli impianti di servizio orizzontali e verticali dell'edificio (ventilazione e servizi igienici) senza interventi strutturali significativi?")</f>
        <v>È possibile accedere agli impianti di servizio orizzontali e verticali dell'edificio (ventilazione e servizi igienici) senza interventi strutturali significativi?</v>
      </c>
      <c r="J182" s="532"/>
      <c r="K182" s="950" t="s">
        <v>891</v>
      </c>
      <c r="L182" s="951"/>
      <c r="M182" s="951"/>
      <c r="N182" s="951"/>
      <c r="O182" s="951"/>
      <c r="P182" s="953"/>
      <c r="Q182" s="523"/>
      <c r="R182" s="950" t="s">
        <v>892</v>
      </c>
      <c r="S182" s="543"/>
      <c r="T182" s="543"/>
      <c r="U182" s="543"/>
      <c r="V182" s="543"/>
      <c r="W182" s="544"/>
      <c r="X182" s="523"/>
      <c r="Y182" s="950" t="s">
        <v>1813</v>
      </c>
      <c r="Z182" s="543"/>
      <c r="AA182" s="543"/>
      <c r="AB182" s="543"/>
      <c r="AC182" s="543"/>
      <c r="AD182" s="544"/>
      <c r="AE182" s="138" t="s">
        <v>28</v>
      </c>
      <c r="AF182" s="414"/>
      <c r="AG182" s="395"/>
      <c r="AH182" s="395"/>
      <c r="AI182" s="395"/>
      <c r="AJ182" s="396"/>
      <c r="AK182" s="396"/>
      <c r="AL182" s="396"/>
      <c r="AM182" s="322"/>
      <c r="AN182" s="322"/>
      <c r="AO182" s="322"/>
      <c r="AP182" s="322"/>
      <c r="AQ182" s="322"/>
      <c r="AR182" s="322"/>
      <c r="AS182" s="143"/>
      <c r="AT182" s="143"/>
      <c r="AU182" s="143"/>
      <c r="AV182" s="138"/>
      <c r="AW182" s="322"/>
      <c r="AX182" s="138" t="s">
        <v>227</v>
      </c>
      <c r="AY182" s="138" t="s">
        <v>48</v>
      </c>
      <c r="AZ182" s="138"/>
      <c r="BA182" s="138"/>
      <c r="BB182" s="354"/>
      <c r="BC182" s="354"/>
      <c r="BD182" s="354"/>
      <c r="BE182" s="354"/>
      <c r="BF182" s="354"/>
      <c r="BG182" s="354"/>
      <c r="BH182" s="354"/>
      <c r="BI182" s="354"/>
      <c r="BJ182" s="138"/>
    </row>
    <row r="183" spans="1:62" ht="15" customHeight="1">
      <c r="A183" s="138"/>
      <c r="B183" s="857"/>
      <c r="C183" s="874" t="str">
        <f>IF(Tool!$H$7="Français",G183,IF(Tool!$H$7="Italiano",I183,E183))</f>
        <v>Sind Technikzentralen so platziert und dimensioniert, dass ein einfacher Ersatz von Gebäudetechnikgeräten möglich ist?</v>
      </c>
      <c r="D183" s="523"/>
      <c r="E183" s="949" t="str">
        <f>IF(OR(AG$25=AF$6,AG$25=AF$7),K183,"Sind Technikzentralen so platziert und dimensioniert, dass ein einfacher Ersatz von Gebäudetechnikgeräten möglich ist?")</f>
        <v>Sind Technikzentralen so platziert und dimensioniert, dass ein einfacher Ersatz von Gebäudetechnikgeräten möglich ist?</v>
      </c>
      <c r="F183" s="523"/>
      <c r="G183" s="525" t="str">
        <f>IF(OR(AG$25=AF$6,AG$25=AF$7),R183,"Les centrales techniques sont-elles placées et dimensionnées de manière à permettre un remplacement aisé des appareils techniques du bâtiment ?")</f>
        <v>Les centrales techniques sont-elles placées et dimensionnées de manière à permettre un remplacement aisé des appareils techniques du bâtiment ?</v>
      </c>
      <c r="H183" s="525"/>
      <c r="I183" s="525" t="str">
        <f>IF(OR(AG$25=AF$6,AG$25=AF$7),Y183,"I centri di controllo tecnico sono posizionati e dimensionati in modo tale da consentire una facile sostituzione delle apparecchiature dei servizi dell'edificio?")</f>
        <v>I centri di controllo tecnico sono posizionati e dimensionati in modo tale da consentire una facile sostituzione delle apparecchiature dei servizi dell'edificio?</v>
      </c>
      <c r="J183" s="532"/>
      <c r="K183" s="950" t="s">
        <v>22</v>
      </c>
      <c r="L183" s="951"/>
      <c r="M183" s="951"/>
      <c r="N183" s="951"/>
      <c r="O183" s="951"/>
      <c r="P183" s="953"/>
      <c r="Q183" s="523"/>
      <c r="R183" s="950" t="s">
        <v>893</v>
      </c>
      <c r="S183" s="543"/>
      <c r="T183" s="543"/>
      <c r="U183" s="543"/>
      <c r="V183" s="543"/>
      <c r="W183" s="544"/>
      <c r="X183" s="523"/>
      <c r="Y183" s="950" t="s">
        <v>1814</v>
      </c>
      <c r="Z183" s="543"/>
      <c r="AA183" s="543"/>
      <c r="AB183" s="543"/>
      <c r="AC183" s="543"/>
      <c r="AD183" s="544"/>
      <c r="AE183" s="138" t="s">
        <v>28</v>
      </c>
      <c r="AF183" s="1052">
        <f>AQ38</f>
        <v>211</v>
      </c>
      <c r="AG183" s="1041" t="str">
        <f>AR38</f>
        <v>Lebenszykluskosten</v>
      </c>
      <c r="AH183" s="1042"/>
      <c r="AI183" s="1041"/>
      <c r="AJ183" s="1043">
        <v>1</v>
      </c>
      <c r="AK183" s="1043" t="s">
        <v>46</v>
      </c>
      <c r="AL183" s="1049">
        <v>0</v>
      </c>
      <c r="AM183" s="1044"/>
      <c r="AN183" s="1044"/>
      <c r="AO183" s="1044" t="str">
        <f>IF(Check!S506=$AQ$4,AJ183,IF(OR(Check!S506=$AQ$6,Check!S506=$AQ$5),AL183,"NB"))</f>
        <v>NB</v>
      </c>
      <c r="AP183" s="1044"/>
      <c r="AQ183" s="1044" t="str">
        <f>IF(AP183=1,0,
IF(AO183=1,1,
IF(COUNTIF(AO184:AO186,"NB"),"NB",
IF(SUM(AO184:AO186)&gt;1,1,
IF(AND(SUM(AO184:AO186)&gt;=0,SUM(AO184:AO186)&lt;=1),SUM(AO184:AO186),"NB")))))</f>
        <v>NB</v>
      </c>
      <c r="AR183" s="1044"/>
      <c r="AS183" s="1050" t="str">
        <f>IF(AQ183="NB","NB",AQ183)</f>
        <v>NB</v>
      </c>
      <c r="AT183" s="1051" t="str">
        <f>IF(AND(AS183="NB",AS191="NB",AS196="NB"),"NB",SUM(AS183:AS200)/3)</f>
        <v>NB</v>
      </c>
      <c r="AU183" s="1050" t="str">
        <f>IF(AND(AS183="NB",AS191="NB",AS196="NB",AS201="NB",AS210="NB",AS214="NB",AS222="NB"),"NB",SUM(AS183:AS222)/7)</f>
        <v>NB</v>
      </c>
      <c r="AV183" s="1045"/>
      <c r="AW183" s="1484" t="str">
        <f>AS183</f>
        <v>NB</v>
      </c>
      <c r="AX183" s="1048" t="str">
        <f>IF(AND(AW183="NB",AW187="NB",AW196="NB"),"NB",SUM(AW183:AW200)/3)</f>
        <v>NB</v>
      </c>
      <c r="AY183" s="1047" t="str">
        <f>IF(AND(AW183="NB",AW187="NB",AW196="NB",AW201="NB",AW206="NB",AW214="NB",AW218="NB"),"NB",SUM(AW183:AW222)/7)</f>
        <v>NB</v>
      </c>
      <c r="AZ183" s="1051"/>
      <c r="BA183" s="1543" t="str">
        <f>AW183</f>
        <v>NB</v>
      </c>
      <c r="BB183" s="702" t="str">
        <f>IF($AS$183="NB","",
IF($AS$183&gt;=0.85,AF183&amp;" "&amp;AG183&amp;"; ",""))</f>
        <v/>
      </c>
      <c r="BC183" s="581" t="str">
        <f>IF($AS$183="NB","",
IF(AND($AS$183&gt;=0.65,$AS$183&lt;0.85),AF183&amp;" "&amp;AG183&amp;"; ",""))</f>
        <v/>
      </c>
      <c r="BD183" s="407" t="str">
        <f>IF($AS$183="NB","",
IF(AND($AS$183&gt;=0.5,$AS$183&lt;0.65),AF183&amp;" "&amp;AG183&amp;"; ",""))</f>
        <v/>
      </c>
      <c r="BE183" s="578" t="str">
        <f>IF($AS$183="NB","",
IF($AS$183&lt;0.5,AF183&amp;" "&amp;AG183&amp;"; ",""))</f>
        <v/>
      </c>
      <c r="BF183" s="702" t="str">
        <f>IF($AS$183="NB","",
IF($AS$183&gt;=0.85,AF183&amp;" ",""))</f>
        <v/>
      </c>
      <c r="BG183" s="581" t="str">
        <f>IF($AS$183="NB","",
IF(AND($AS$183&gt;=0.65,$AS$183&lt;0.85),AF183&amp;" ",""))</f>
        <v/>
      </c>
      <c r="BH183" s="407" t="str">
        <f>IF($AS$183="NB","",
IF(AND($AS$183&gt;=0.5,$AS$183&lt;0.65),AF183&amp;" ",""))</f>
        <v/>
      </c>
      <c r="BI183" s="578" t="str">
        <f>IF($AS$183="NB","",
IF($AS$183&lt;0.5,AF183&amp;" ",""))</f>
        <v/>
      </c>
      <c r="BJ183" s="138"/>
    </row>
    <row r="184" spans="1:62" ht="15" customHeight="1">
      <c r="A184" s="138"/>
      <c r="B184" s="857"/>
      <c r="C184" s="874" t="str">
        <f>IF(Tool!$H$7="Français",G184,IF(Tool!$H$7="Italiano",I184,E184))</f>
        <v>Wird der Austausch und die Instandsetzung von Bauteilen durch zerstörungsfreien Rückbau konzeptionell ermöglicht (z. B. Fensterersatz ohne Fassadendemontage, Heizungsreparatur ohne Bodenabbruch)?</v>
      </c>
      <c r="D184" s="523"/>
      <c r="E184" s="949" t="str">
        <f>IF(OR(AG$25=AF$6,AG$25=AF$7),K184,"Wird der Austausch und die Instandsetzung von Bauteilen durch zerstörungsfreien Rückbau konzeptionell ermöglicht (z. B. Fensterersatz ohne Fassadendemontage, Heizungsreparatur ohne Bodenabbruch)?")</f>
        <v>Wird der Austausch und die Instandsetzung von Bauteilen durch zerstörungsfreien Rückbau konzeptionell ermöglicht (z. B. Fensterersatz ohne Fassadendemontage, Heizungsreparatur ohne Bodenabbruch)?</v>
      </c>
      <c r="F184" s="523"/>
      <c r="G184" s="525" t="str">
        <f>IF(OR(AG$25=AF$6,AG$25=AF$7),R184,W184)</f>
        <v>Le remplacement et la remise en état des éléments de construction par un démontage non destructif sont-ils rendus possibles sur le plan conceptuel (p. ex. remplacement des fenêtres sans démontage de la façade, réparation du chauffage sans démolition du sol) ?</v>
      </c>
      <c r="H184" s="525"/>
      <c r="I184" s="525" t="str">
        <f>IF(OR(AG$25=AF$6,AG$25=AF$7),Y184,"È concretamente possibile sostituire e riparare i componenti mediante smontaggio non distruttivo (ad esempio, sostituzione delle finestre senza smontare la facciata, riparazione dell'impianto di riscaldamento senza demolire il pavimento)?")</f>
        <v>È concretamente possibile sostituire e riparare i componenti mediante smontaggio non distruttivo (ad esempio, sostituzione delle finestre senza smontare la facciata, riparazione dell'impianto di riscaldamento senza demolire il pavimento)?</v>
      </c>
      <c r="J184" s="532"/>
      <c r="K184" s="950" t="s">
        <v>753</v>
      </c>
      <c r="L184" s="951"/>
      <c r="M184" s="951"/>
      <c r="N184" s="951"/>
      <c r="O184" s="951"/>
      <c r="P184" s="953"/>
      <c r="Q184" s="523"/>
      <c r="R184" s="950" t="s">
        <v>387</v>
      </c>
      <c r="S184" s="543"/>
      <c r="T184" s="543"/>
      <c r="U184" s="543"/>
      <c r="V184" s="543"/>
      <c r="W184" s="544" t="s">
        <v>1811</v>
      </c>
      <c r="X184" s="523"/>
      <c r="Y184" s="950" t="s">
        <v>897</v>
      </c>
      <c r="Z184" s="543"/>
      <c r="AA184" s="543"/>
      <c r="AB184" s="543"/>
      <c r="AC184" s="543"/>
      <c r="AD184" s="544"/>
      <c r="AE184" s="138" t="s">
        <v>28</v>
      </c>
      <c r="AF184" s="335"/>
      <c r="AG184" s="340"/>
      <c r="AH184" s="766"/>
      <c r="AI184" s="340"/>
      <c r="AJ184" s="43">
        <f>AJ183/3</f>
        <v>0.33333333333333331</v>
      </c>
      <c r="AK184" s="43">
        <f>AJ184*0.3</f>
        <v>9.9999999999999992E-2</v>
      </c>
      <c r="AL184" s="43">
        <v>0</v>
      </c>
      <c r="AM184" s="44"/>
      <c r="AN184" s="44"/>
      <c r="AO184" s="44" t="str">
        <f>IF(Check!S509=$AQ$4,AJ184,IF(Check!S509=$AQ$6,AK184,IF(OR(Check!S509=$AQ$5,AO183=""),AL184,"NB")))</f>
        <v>NB</v>
      </c>
      <c r="AP184" s="44"/>
      <c r="AQ184" s="44"/>
      <c r="AR184" s="44"/>
      <c r="AS184" s="146"/>
      <c r="AT184" s="141"/>
      <c r="AU184" s="146"/>
      <c r="AV184" s="442"/>
      <c r="AW184" s="44"/>
      <c r="AX184" s="41" t="s">
        <v>1634</v>
      </c>
      <c r="AY184" s="42" t="str">
        <f>IF(AND(AZ187="NB"),"NB",SUM(AZ183:AZ200)/1)</f>
        <v>NB</v>
      </c>
      <c r="AZ184" s="1"/>
      <c r="BA184" s="38"/>
      <c r="BB184" s="577"/>
      <c r="BC184" s="582"/>
      <c r="BD184" s="398"/>
      <c r="BE184" s="579"/>
      <c r="BF184" s="577"/>
      <c r="BG184" s="582"/>
      <c r="BH184" s="398"/>
      <c r="BI184" s="579"/>
      <c r="BJ184" s="138"/>
    </row>
    <row r="185" spans="1:62" ht="15" customHeight="1">
      <c r="A185" s="138"/>
      <c r="B185" s="857"/>
      <c r="C185" s="874" t="str">
        <f>IF(Tool!$H$7="Français",G185,IF(Tool!$H$7="Italiano",I185,E185))</f>
        <v>Werden Massnahmen im Sinne des kreislauffähigen Bauens ergriffen (Wiederverwendung von Bauteilen und Dokumentation der Materialien)?</v>
      </c>
      <c r="D185" s="526"/>
      <c r="E185" s="949" t="s">
        <v>894</v>
      </c>
      <c r="F185" s="523"/>
      <c r="G185" s="525" t="s">
        <v>1806</v>
      </c>
      <c r="H185" s="525"/>
      <c r="I185" s="525" t="s">
        <v>895</v>
      </c>
      <c r="J185" s="532"/>
      <c r="K185" s="950"/>
      <c r="L185" s="951"/>
      <c r="M185" s="951"/>
      <c r="N185" s="951"/>
      <c r="O185" s="951"/>
      <c r="P185" s="953"/>
      <c r="Q185" s="523"/>
      <c r="R185" s="950"/>
      <c r="S185" s="543"/>
      <c r="T185" s="543"/>
      <c r="U185" s="543"/>
      <c r="V185" s="543"/>
      <c r="W185" s="544"/>
      <c r="X185" s="523"/>
      <c r="Y185" s="950"/>
      <c r="Z185" s="543"/>
      <c r="AA185" s="543"/>
      <c r="AB185" s="543"/>
      <c r="AC185" s="543"/>
      <c r="AD185" s="544"/>
      <c r="AE185" s="138" t="s">
        <v>28</v>
      </c>
      <c r="AF185" s="410"/>
      <c r="AG185" s="38"/>
      <c r="AH185" s="442"/>
      <c r="AI185" s="38"/>
      <c r="AJ185" s="43">
        <f>AJ183/3</f>
        <v>0.33333333333333331</v>
      </c>
      <c r="AK185" s="43">
        <f>AJ185*0.3</f>
        <v>9.9999999999999992E-2</v>
      </c>
      <c r="AL185" s="43">
        <v>0</v>
      </c>
      <c r="AM185" s="44"/>
      <c r="AN185" s="44"/>
      <c r="AO185" s="44" t="str">
        <f>IF(Check!S512=$AQ$4,AJ185,IF(Check!S512=$AQ$6,AK185,IF(OR(Check!S512=$AQ$5,AO183=""),AL185,"NB")))</f>
        <v>NB</v>
      </c>
      <c r="AP185" s="44"/>
      <c r="AQ185" s="44"/>
      <c r="AR185" s="44"/>
      <c r="AS185" s="146"/>
      <c r="AT185" s="141"/>
      <c r="AU185" s="146"/>
      <c r="AV185" s="442"/>
      <c r="AW185" s="44"/>
      <c r="AX185" s="41" t="s">
        <v>1635</v>
      </c>
      <c r="AY185" s="42" t="str">
        <f>IF(AND(BA183="NB",BA196="NB"),"NB",SUM(BA183:BA200)/2)</f>
        <v>NB</v>
      </c>
      <c r="AZ185" s="1"/>
      <c r="BA185" s="38"/>
      <c r="BB185" s="577"/>
      <c r="BC185" s="582"/>
      <c r="BD185" s="398"/>
      <c r="BE185" s="579"/>
      <c r="BF185" s="577"/>
      <c r="BG185" s="582"/>
      <c r="BH185" s="398"/>
      <c r="BI185" s="579"/>
      <c r="BJ185" s="138"/>
    </row>
    <row r="186" spans="1:62" ht="15" customHeight="1">
      <c r="A186" s="138"/>
      <c r="B186" s="528"/>
      <c r="C186" s="867" t="str">
        <f>IF(Tool!$H$7="Français",G186,IF(Tool!$H$7="Italiano",I186,E186))</f>
        <v>Nutzbarkeit</v>
      </c>
      <c r="D186" s="528"/>
      <c r="E186" s="529" t="s">
        <v>853</v>
      </c>
      <c r="F186" s="528"/>
      <c r="G186" s="546" t="s">
        <v>852</v>
      </c>
      <c r="H186" s="528"/>
      <c r="I186" s="546" t="s">
        <v>854</v>
      </c>
      <c r="J186" s="528"/>
      <c r="K186" s="895" t="str">
        <f>E186</f>
        <v>Nutzbarkeit</v>
      </c>
      <c r="L186" s="896"/>
      <c r="M186" s="896"/>
      <c r="N186" s="896"/>
      <c r="O186" s="896"/>
      <c r="P186" s="897"/>
      <c r="Q186" s="528"/>
      <c r="R186" s="892" t="str">
        <f>G186</f>
        <v>Potentiel d’utilisation du bâtiment &amp; de son emplacement</v>
      </c>
      <c r="S186" s="893"/>
      <c r="T186" s="893"/>
      <c r="U186" s="893"/>
      <c r="V186" s="893"/>
      <c r="W186" s="894"/>
      <c r="X186" s="528"/>
      <c r="Y186" s="2063" t="str">
        <f>I186</f>
        <v>Fruibilità</v>
      </c>
      <c r="Z186" s="2064"/>
      <c r="AA186" s="2064"/>
      <c r="AB186" s="2064"/>
      <c r="AC186" s="2064"/>
      <c r="AD186" s="2065"/>
      <c r="AE186" s="138" t="s">
        <v>28</v>
      </c>
      <c r="AF186" s="410"/>
      <c r="AG186" s="38"/>
      <c r="AH186" s="442"/>
      <c r="AI186" s="38"/>
      <c r="AJ186" s="43">
        <f>AJ183/3</f>
        <v>0.33333333333333331</v>
      </c>
      <c r="AK186" s="43">
        <f>AJ186*0.3</f>
        <v>9.9999999999999992E-2</v>
      </c>
      <c r="AL186" s="43">
        <v>0</v>
      </c>
      <c r="AM186" s="44"/>
      <c r="AN186" s="44"/>
      <c r="AO186" s="44" t="str">
        <f>IF(Check!S515=$AQ$4,AJ186,IF(Check!S515=$AQ$6,AK186,IF(OR(Check!S515=$AQ$5,AO183=""),AL186,"NB")))</f>
        <v>NB</v>
      </c>
      <c r="AP186" s="44"/>
      <c r="AQ186" s="44"/>
      <c r="AR186" s="44"/>
      <c r="AS186" s="146"/>
      <c r="AT186" s="141"/>
      <c r="AU186" s="1"/>
      <c r="AV186" s="442"/>
      <c r="AW186" s="44"/>
      <c r="AX186" s="41" t="s">
        <v>1647</v>
      </c>
      <c r="AY186" s="1546" t="str">
        <f>IF(AND(BA183="NB",BA196="NB"),"NB",SUM(BA183:BA200)/2)</f>
        <v>NB</v>
      </c>
      <c r="AZ186" s="1"/>
      <c r="BA186" s="38"/>
      <c r="BB186" s="577"/>
      <c r="BC186" s="582"/>
      <c r="BD186" s="398"/>
      <c r="BE186" s="579"/>
      <c r="BF186" s="577"/>
      <c r="BG186" s="582"/>
      <c r="BH186" s="398"/>
      <c r="BI186" s="579"/>
      <c r="BJ186" s="138"/>
    </row>
    <row r="187" spans="1:62" ht="15" customHeight="1">
      <c r="A187" s="138"/>
      <c r="B187" s="523">
        <v>221</v>
      </c>
      <c r="C187" s="874" t="str">
        <f>IF(Tool!$H$7="Français",G187,IF(Tool!$H$7="Italiano",I187,E187))</f>
        <v xml:space="preserve">Wird der Standort hinsichtlich Gefahren durch Erdbeben oder Naturereignisse mit themenspezifischen Online-Tools analysiert und werden entsprechende Massnahmen zum Schutz des Gebäudes und der Nutzenden eingeleitet, um die Schutzziele gemäss SIA 261 zu erfüllen? </v>
      </c>
      <c r="D187" s="523">
        <f>$B187</f>
        <v>221</v>
      </c>
      <c r="E187" s="524" t="s">
        <v>1415</v>
      </c>
      <c r="F187" s="523">
        <f>$B187</f>
        <v>221</v>
      </c>
      <c r="G187" s="525" t="s">
        <v>907</v>
      </c>
      <c r="H187" s="523">
        <f>$B187</f>
        <v>221</v>
      </c>
      <c r="I187" s="535" t="s">
        <v>906</v>
      </c>
      <c r="J187" s="523">
        <f>$B187</f>
        <v>221</v>
      </c>
      <c r="K187" s="536"/>
      <c r="L187" s="537"/>
      <c r="M187" s="537"/>
      <c r="N187" s="537"/>
      <c r="O187" s="537"/>
      <c r="P187" s="538"/>
      <c r="Q187" s="523">
        <f>$B187</f>
        <v>221</v>
      </c>
      <c r="R187" s="542"/>
      <c r="S187" s="543"/>
      <c r="T187" s="543"/>
      <c r="U187" s="543"/>
      <c r="V187" s="543"/>
      <c r="W187" s="544"/>
      <c r="X187" s="523">
        <f>$B187</f>
        <v>221</v>
      </c>
      <c r="Y187" s="542"/>
      <c r="Z187" s="543"/>
      <c r="AA187" s="543"/>
      <c r="AB187" s="543"/>
      <c r="AC187" s="543"/>
      <c r="AD187" s="544"/>
      <c r="AE187" s="138"/>
      <c r="AF187" s="1006" t="str">
        <f>AT$38</f>
        <v>K211</v>
      </c>
      <c r="AG187" s="1003" t="str">
        <f>AU38</f>
        <v>Lebenszyklusbetrachtung im Klimawandel</v>
      </c>
      <c r="AH187" s="1007"/>
      <c r="AI187" s="1003"/>
      <c r="AJ187" s="1008">
        <v>1</v>
      </c>
      <c r="AK187" s="1008" t="s">
        <v>46</v>
      </c>
      <c r="AL187" s="1008">
        <v>0</v>
      </c>
      <c r="AM187" s="1012"/>
      <c r="AN187" s="1012"/>
      <c r="AO187" s="1023" t="str">
        <f>IF(Check!S518=$AQ$4,AJ187,IF(OR(Check!S518=$AQ$6,Check!S518=$AQ$5),AL187,"NB"))</f>
        <v>NB</v>
      </c>
      <c r="AP187" s="1012"/>
      <c r="AQ187" s="1012"/>
      <c r="AR187" s="1012"/>
      <c r="AS187" s="1012"/>
      <c r="AT187" s="1012"/>
      <c r="AU187" s="1012"/>
      <c r="AV187" s="1009" t="str">
        <f>IF(AP187=1,1,
IF(AO187=1,1,
IF(COUNTIF(AO188:AO190,"NB"),"NB",
IF(SUM(AO188:AO190)&gt;1,1,
IF(AND(SUM(AO188:AO190)&gt;=0,SUM(AO188:AO190)&lt;=1),SUM(AO188:AO190),"NB")))))</f>
        <v>NB</v>
      </c>
      <c r="AW187" s="655" t="str">
        <f>IF(AV187="NB","NB",AV187)</f>
        <v>NB</v>
      </c>
      <c r="AX187" s="1012" t="s">
        <v>1648</v>
      </c>
      <c r="AY187" s="1549" t="str">
        <f>IF(AND(BA183="NB",BA196="NB",AZ201="NB",BA214="NB"),"NB",SUM(BA183,BA196,AZ201,BA214)/4)</f>
        <v>NB</v>
      </c>
      <c r="AZ187" s="1488" t="str">
        <f>AW187</f>
        <v>NB</v>
      </c>
      <c r="BA187" s="1035"/>
      <c r="BB187" s="577" t="str">
        <f>IF($AW$187="NB","",
IF($AW$187&gt;=0.85,AF187&amp;" "&amp;AG187&amp;"; ",""))</f>
        <v/>
      </c>
      <c r="BC187" s="582" t="str">
        <f>IF($AW$187="NB","",
IF(AND($AW$187&gt;=0.65,$AW$187&lt;0.85),AF187&amp;" "&amp;AG187&amp;"; ",""))</f>
        <v/>
      </c>
      <c r="BD187" s="398" t="str">
        <f>IF($AW$187="NB","",
IF(AND($AW$187&gt;=0.5,$AW$187&lt;0.65),AF187&amp;" "&amp;AG187&amp;"; ",""))</f>
        <v/>
      </c>
      <c r="BE187" s="579" t="str">
        <f>IF($AW$187="NB","",
IF($AW$187&lt;0.5,AF187&amp;" "&amp;AG187&amp;"; ",""))</f>
        <v/>
      </c>
      <c r="BF187" s="577" t="str">
        <f>IF($AW$187="NB","",
IF($AW$187&gt;=0.85,AF187&amp;" ",""))</f>
        <v/>
      </c>
      <c r="BG187" s="582" t="str">
        <f>IF($AW$187="NB","",
IF(AND($AW$187&gt;=0.65,$AW$187&lt;0.85),AF187&amp;" ",""))</f>
        <v/>
      </c>
      <c r="BH187" s="398" t="str">
        <f>IF($AW$187="NB","",
IF(AND($AW$187&gt;=0.5,$AW$187&lt;0.65),AF187&amp;" ",""))</f>
        <v/>
      </c>
      <c r="BI187" s="579" t="str">
        <f>IF($AW$187="NB","",
IF($AW$187&lt;0.5,AF187&amp;" ",""))</f>
        <v/>
      </c>
      <c r="BJ187" s="138"/>
    </row>
    <row r="188" spans="1:62" ht="15" customHeight="1">
      <c r="A188" s="138"/>
      <c r="B188" s="857"/>
      <c r="C188" s="874" t="str">
        <f>IF(Tool!$H$7="Français",G188,IF(Tool!$H$7="Italiano",I188,E188))</f>
        <v>Stimmt folgende Aussage? ''Am Standort bestehen gemäss themenspezifischer Standortanalyse keine Hinweise auf Gefährdung durch Hochwasser und Oberflächenabfluss oder es werden entsprechende Gegenmassnahmen getroffen''</v>
      </c>
      <c r="D188" s="523"/>
      <c r="E188" s="524" t="s">
        <v>898</v>
      </c>
      <c r="F188" s="523"/>
      <c r="G188" s="525" t="s">
        <v>905</v>
      </c>
      <c r="H188" s="523"/>
      <c r="I188" s="874" t="s">
        <v>908</v>
      </c>
      <c r="J188" s="523"/>
      <c r="K188" s="536"/>
      <c r="L188" s="537"/>
      <c r="M188" s="537"/>
      <c r="N188" s="537"/>
      <c r="O188" s="537"/>
      <c r="P188" s="538"/>
      <c r="Q188" s="523"/>
      <c r="R188" s="542"/>
      <c r="S188" s="543"/>
      <c r="T188" s="543"/>
      <c r="U188" s="543"/>
      <c r="V188" s="543"/>
      <c r="W188" s="544"/>
      <c r="X188" s="523"/>
      <c r="Y188" s="542"/>
      <c r="Z188" s="543"/>
      <c r="AA188" s="543"/>
      <c r="AB188" s="543"/>
      <c r="AC188" s="543"/>
      <c r="AD188" s="544"/>
      <c r="AE188" s="138"/>
      <c r="AF188" s="409"/>
      <c r="AG188" s="769"/>
      <c r="AH188" s="771"/>
      <c r="AI188" s="769"/>
      <c r="AJ188" s="43">
        <f>AJ187/3</f>
        <v>0.33333333333333331</v>
      </c>
      <c r="AK188" s="43">
        <f>AJ188*0.3</f>
        <v>9.9999999999999992E-2</v>
      </c>
      <c r="AL188" s="43">
        <v>0</v>
      </c>
      <c r="AM188" s="44"/>
      <c r="AN188" s="44"/>
      <c r="AO188" s="44" t="str">
        <f>IF(Check!S521=$AQ$4,AJ188,IF(Check!S521=$AQ$6,AK188,IF(OR(Check!S521=$AQ$5,AO187=""),AL188,"NB")))</f>
        <v>NB</v>
      </c>
      <c r="AP188" s="981"/>
      <c r="AQ188" s="44"/>
      <c r="AR188" s="44"/>
      <c r="AS188" s="146"/>
      <c r="AT188" s="41"/>
      <c r="AU188" s="41"/>
      <c r="AV188" s="442"/>
      <c r="AW188" s="44"/>
      <c r="AX188" s="41"/>
      <c r="AY188" s="42"/>
      <c r="AZ188" s="41"/>
      <c r="BA188" s="42"/>
      <c r="BB188" s="577"/>
      <c r="BC188" s="582"/>
      <c r="BD188" s="398"/>
      <c r="BE188" s="579"/>
      <c r="BF188" s="577"/>
      <c r="BG188" s="582"/>
      <c r="BH188" s="398"/>
      <c r="BI188" s="579"/>
      <c r="BJ188" s="138"/>
    </row>
    <row r="189" spans="1:62" ht="15" customHeight="1">
      <c r="A189" s="138"/>
      <c r="B189" s="857"/>
      <c r="C189" s="874" t="str">
        <f>IF(Tool!$H$7="Français",G189,IF(Tool!$H$7="Italiano",I189,E189))</f>
        <v>Stimmt folgende Aussage? ''Am Standort bestehen gemäss Standortanalyse keine Hinweise auf Gefährdung durch Lawinen, Murgang, Erdrutsch und Steinschlag oder es werden entsprechende Gegenmassnahmen getroffen''</v>
      </c>
      <c r="D189" s="523"/>
      <c r="E189" s="524" t="s">
        <v>899</v>
      </c>
      <c r="F189" s="523"/>
      <c r="G189" s="525" t="s">
        <v>904</v>
      </c>
      <c r="H189" s="523"/>
      <c r="I189" s="874" t="s">
        <v>909</v>
      </c>
      <c r="J189" s="523"/>
      <c r="K189" s="536"/>
      <c r="L189" s="537"/>
      <c r="M189" s="537"/>
      <c r="N189" s="537"/>
      <c r="O189" s="537"/>
      <c r="P189" s="538"/>
      <c r="Q189" s="523"/>
      <c r="R189" s="542"/>
      <c r="S189" s="543"/>
      <c r="T189" s="543"/>
      <c r="U189" s="543"/>
      <c r="V189" s="543"/>
      <c r="W189" s="544"/>
      <c r="X189" s="523"/>
      <c r="Y189" s="542"/>
      <c r="Z189" s="543"/>
      <c r="AA189" s="543"/>
      <c r="AB189" s="543"/>
      <c r="AC189" s="543"/>
      <c r="AD189" s="544"/>
      <c r="AE189" s="138"/>
      <c r="AF189" s="409"/>
      <c r="AG189" s="769"/>
      <c r="AH189" s="771"/>
      <c r="AI189" s="769"/>
      <c r="AJ189" s="43">
        <f>AJ187/3</f>
        <v>0.33333333333333331</v>
      </c>
      <c r="AK189" s="43">
        <f t="shared" ref="AK189:AK199" si="33">AJ189*0.3</f>
        <v>9.9999999999999992E-2</v>
      </c>
      <c r="AL189" s="43">
        <v>0</v>
      </c>
      <c r="AM189" s="44"/>
      <c r="AN189" s="44"/>
      <c r="AO189" s="44" t="str">
        <f>IF(Check!S524=$AQ$4,AJ189,IF(Check!S524=$AQ$6,AK189,IF(OR(Check!S524=$AQ$5,AO187=""),AL189,"NB")))</f>
        <v>NB</v>
      </c>
      <c r="AP189" s="981"/>
      <c r="AQ189" s="44"/>
      <c r="AR189" s="44"/>
      <c r="AS189" s="146"/>
      <c r="AT189" s="41"/>
      <c r="AU189" s="41"/>
      <c r="AV189" s="442"/>
      <c r="AW189" s="44"/>
      <c r="AX189" s="41"/>
      <c r="AY189" s="42"/>
      <c r="AZ189" s="41"/>
      <c r="BA189" s="42"/>
      <c r="BB189" s="577"/>
      <c r="BC189" s="582"/>
      <c r="BD189" s="398"/>
      <c r="BE189" s="579"/>
      <c r="BF189" s="577"/>
      <c r="BG189" s="582"/>
      <c r="BH189" s="398"/>
      <c r="BI189" s="579"/>
      <c r="BJ189" s="138"/>
    </row>
    <row r="190" spans="1:62" ht="15" customHeight="1">
      <c r="A190" s="138"/>
      <c r="B190" s="857"/>
      <c r="C190" s="874" t="str">
        <f>IF(Tool!$H$7="Français",G190,IF(Tool!$H$7="Italiano",I190,E190))</f>
        <v>Stimmt folgende Aussage? ''Eine Standortanalyse hinsichtlich der meteorologischen Naturgefahren (Hagel, Sturm, Wind, Regen und Schnee) wurde durchgeführt und es werden nötigenfalls am Gebäude entsprechende, verhältnismässige Gegenmassnahmen zur Reduktion des Risikos getroffen''</v>
      </c>
      <c r="D190" s="523"/>
      <c r="E190" s="524" t="s">
        <v>900</v>
      </c>
      <c r="F190" s="523"/>
      <c r="G190" s="535" t="s">
        <v>903</v>
      </c>
      <c r="H190" s="523"/>
      <c r="I190" s="874" t="s">
        <v>910</v>
      </c>
      <c r="J190" s="523"/>
      <c r="K190" s="536"/>
      <c r="L190" s="537"/>
      <c r="M190" s="537"/>
      <c r="N190" s="537"/>
      <c r="O190" s="537"/>
      <c r="P190" s="538"/>
      <c r="Q190" s="523"/>
      <c r="R190" s="542"/>
      <c r="S190" s="543"/>
      <c r="T190" s="543"/>
      <c r="U190" s="543"/>
      <c r="V190" s="543"/>
      <c r="W190" s="544"/>
      <c r="X190" s="523"/>
      <c r="Y190" s="542"/>
      <c r="Z190" s="543"/>
      <c r="AA190" s="543"/>
      <c r="AB190" s="543"/>
      <c r="AC190" s="543"/>
      <c r="AD190" s="544"/>
      <c r="AE190" s="138" t="s">
        <v>28</v>
      </c>
      <c r="AF190" s="335"/>
      <c r="AG190" s="340"/>
      <c r="AH190" s="766"/>
      <c r="AI190" s="340"/>
      <c r="AJ190" s="43">
        <f>AJ187/3</f>
        <v>0.33333333333333331</v>
      </c>
      <c r="AK190" s="43">
        <f t="shared" si="33"/>
        <v>9.9999999999999992E-2</v>
      </c>
      <c r="AL190" s="43">
        <v>0</v>
      </c>
      <c r="AM190" s="44"/>
      <c r="AN190" s="44"/>
      <c r="AO190" s="44" t="str">
        <f>IF(Check!S527=$AQ$4,AJ190,IF(Check!S527=$AQ$6,AK190,IF(OR(Check!S527=$AQ$5,AO187=""),AL190,"NB")))</f>
        <v>NB</v>
      </c>
      <c r="AP190" s="44"/>
      <c r="AQ190" s="44"/>
      <c r="AR190" s="44"/>
      <c r="AS190" s="41"/>
      <c r="AT190" s="41"/>
      <c r="AU190" s="41"/>
      <c r="AV190" s="442"/>
      <c r="AW190" s="44"/>
      <c r="AX190" s="41"/>
      <c r="AY190" s="42"/>
      <c r="AZ190" s="41"/>
      <c r="BA190" s="42"/>
      <c r="BB190" s="577"/>
      <c r="BC190" s="582"/>
      <c r="BD190" s="398"/>
      <c r="BE190" s="579"/>
      <c r="BF190" s="577"/>
      <c r="BG190" s="582"/>
      <c r="BH190" s="398"/>
      <c r="BI190" s="579"/>
      <c r="BJ190" s="138"/>
    </row>
    <row r="191" spans="1:62" ht="15" customHeight="1">
      <c r="A191" s="138"/>
      <c r="B191" s="857"/>
      <c r="C191" s="874" t="str">
        <f>IF(Tool!$H$7="Français",G191,IF(Tool!$H$7="Italiano",I191,E191))</f>
        <v>Stimmt folgende Aussage? ''Eine Gebäudeanalyse hinsichtlich der Erdbebengefährdung wurde durchgeführt und es werden entsprechende Gegenmassnahmen zur Reduktion des Risikos getroffen''</v>
      </c>
      <c r="D191" s="523"/>
      <c r="E191" s="524" t="str">
        <f>IF(OR(AG26=AF7,AG26=AF8),K191,"Stimmt folgende Aussage? ''Eine Standortanalyse hinsichtlich der Erdbebengefährdung wurde durchgeführt und es werden am Gebäude entsprechende Gegenmassnahmen zur Reduktion des Risikos getroffen''")</f>
        <v>Stimmt folgende Aussage? ''Eine Gebäudeanalyse hinsichtlich der Erdbebengefährdung wurde durchgeführt und es werden entsprechende Gegenmassnahmen zur Reduktion des Risikos getroffen''</v>
      </c>
      <c r="F191" s="523"/>
      <c r="G191" s="535" t="str">
        <f>IF(OR(AG26=AF7,AG26=AF8),R191,"L'affirmation suivante est-elle vraie ? ''Une analyse de site a été conduite pour relever les éventuels risques sismiques et des mesures adaptées ont été prises pour faire face à ces risques le cas échéant''")</f>
        <v>L'affirmation suivante est-elle vraie ? ''Une analyse du bâtiment a été conduite pour relever les éventuels risques sismiques et des mesures adaptées ont été prises pour faire face à ces risques le cas échéant''</v>
      </c>
      <c r="H191" s="523"/>
      <c r="I191" s="535" t="str">
        <f>IF(OR(AG26=AF7,AG26=AF8),Y191,"La seguente affermazione è corretta? ''È stata effettuata un'analisi del sito per quanto riguarda la pericolosità sismica e si stanno adottando le opportune contromisure sull'edificio per ridurre il rischio''")</f>
        <v>La seguente affermazione è corretta? ''È stata effettuata un'analisi dell'edificio in relazione alla pericolosità sismica e si stanno adottando le opportune contromisure per ridurre il rischio''</v>
      </c>
      <c r="J191" s="523"/>
      <c r="K191" s="536" t="s">
        <v>901</v>
      </c>
      <c r="L191" s="537"/>
      <c r="M191" s="537"/>
      <c r="N191" s="537"/>
      <c r="O191" s="537"/>
      <c r="P191" s="538"/>
      <c r="Q191" s="523"/>
      <c r="R191" s="542" t="s">
        <v>902</v>
      </c>
      <c r="S191" s="543"/>
      <c r="T191" s="543"/>
      <c r="U191" s="543"/>
      <c r="V191" s="543"/>
      <c r="W191" s="544"/>
      <c r="X191" s="523"/>
      <c r="Y191" s="542" t="s">
        <v>911</v>
      </c>
      <c r="Z191" s="543"/>
      <c r="AA191" s="543"/>
      <c r="AB191" s="543"/>
      <c r="AC191" s="543"/>
      <c r="AD191" s="544"/>
      <c r="AE191" s="138" t="s">
        <v>28</v>
      </c>
      <c r="AF191" s="1056">
        <f>AQ39</f>
        <v>212</v>
      </c>
      <c r="AG191" s="776" t="str">
        <f>AR39</f>
        <v>Bewirtschaftungsgerechte Planung &amp; Realisierung</v>
      </c>
      <c r="AH191" s="1053"/>
      <c r="AI191" s="776"/>
      <c r="AJ191" s="554">
        <v>1</v>
      </c>
      <c r="AK191" s="554" t="s">
        <v>46</v>
      </c>
      <c r="AL191" s="555">
        <v>0</v>
      </c>
      <c r="AM191" s="552"/>
      <c r="AN191" s="552"/>
      <c r="AO191" s="552" t="str">
        <f>IF(Check!S530=$AQ$4,AJ191,IF(OR(Check!S530=$AQ$6,Check!S530=$AQ$5),AL191,"NB"))</f>
        <v>NB</v>
      </c>
      <c r="AP191" s="552"/>
      <c r="AQ191" s="552" t="str">
        <f>IF(AP191=1,1,
IF(AO191=1,1,
IF(COUNTIF(AO192:AO195,"NB"),"NB",
IF(SUM(AO192:AO195)&gt;1,1,
IF(AND(SUM(AO192:AO195)&gt;=0,SUM(AO192:AO195)&lt;=1),SUM(AO192:AO195),"NB")))))</f>
        <v>NB</v>
      </c>
      <c r="AR191" s="552"/>
      <c r="AS191" s="553" t="str">
        <f>IF(AQ191="NB","NB",AQ191)</f>
        <v>NB</v>
      </c>
      <c r="AT191" s="1054"/>
      <c r="AU191" s="1054"/>
      <c r="AV191" s="780"/>
      <c r="AW191" s="552"/>
      <c r="AX191" s="1054"/>
      <c r="AY191" s="775"/>
      <c r="AZ191" s="1054"/>
      <c r="BA191" s="775"/>
      <c r="BB191" s="577" t="str">
        <f>IF($AS$191="NB","",
IF($AS$191&gt;=0.85,AF191&amp;" "&amp;AG191&amp;"; ",""))</f>
        <v/>
      </c>
      <c r="BC191" s="582" t="str">
        <f>IF($AS$191="NB","",
IF(AND($AS$191&gt;=0.65,$AS$191&lt;0.85),AF191&amp;" "&amp;AG191&amp;"; ",""))</f>
        <v/>
      </c>
      <c r="BD191" s="398" t="str">
        <f>IF($AS$191="NB","",
IF(AND($AS$191&gt;=0.5,$AS$191&lt;0.65),AF191&amp;" "&amp;AG191&amp;"; ",""))</f>
        <v/>
      </c>
      <c r="BE191" s="579" t="str">
        <f>IF($AS$191="NB","",
IF($AS$191&lt;0.5,AF191&amp;" "&amp;AG191&amp;"; ",""))</f>
        <v/>
      </c>
      <c r="BF191" s="577" t="str">
        <f>IF($AS$191="NB","",
IF($AS$191&gt;=0.85,AF191&amp;" ",""))</f>
        <v/>
      </c>
      <c r="BG191" s="582" t="str">
        <f>IF($AS$191="NB","",
IF(AND($AS$191&gt;=0.65,$AS$191&lt;0.85),AF191&amp;" ",""))</f>
        <v/>
      </c>
      <c r="BH191" s="398" t="str">
        <f>IF($AS$191="NB","",
IF(AND($AS$191&gt;=0.5,$AS$191&lt;0.65),AF191&amp;" ",""))</f>
        <v/>
      </c>
      <c r="BI191" s="579" t="str">
        <f>IF($AS$191="NB","",
IF($AS$191&lt;0.5,AF191&amp;" ",""))</f>
        <v/>
      </c>
      <c r="BJ191" s="138"/>
    </row>
    <row r="192" spans="1:62" ht="15" customHeight="1">
      <c r="A192" s="138"/>
      <c r="B192" s="642" t="str">
        <f>IF(OR(Tool!H$7="Deutsch",Tool!H$7=""),"K221","C221")</f>
        <v>K221</v>
      </c>
      <c r="C192" s="872" t="str">
        <f>IF(Tool!$H$7="Français",G192,IF(Tool!$H$7="Italiano",I192,E192))</f>
        <v>Werden im Rahmen der Standortanalyse auch Gefahren durch Naturereignisse analysiert, deren Auftreten in zukünftigen Klimaszenarien wahrscheinlicher werden? (z. B. Waldbrand, Tornado, Extremwetterereignisse, Hitzewelle)</v>
      </c>
      <c r="D192" s="642" t="str">
        <f>$B192</f>
        <v>K221</v>
      </c>
      <c r="E192" s="872" t="s">
        <v>913</v>
      </c>
      <c r="F192" s="642" t="str">
        <f>$B192</f>
        <v>K221</v>
      </c>
      <c r="G192" s="872" t="s">
        <v>1807</v>
      </c>
      <c r="H192" s="642" t="str">
        <f>$B192</f>
        <v>K221</v>
      </c>
      <c r="I192" s="872" t="s">
        <v>914</v>
      </c>
      <c r="J192" s="642" t="str">
        <f>$B192</f>
        <v>K221</v>
      </c>
      <c r="K192" s="644"/>
      <c r="L192" s="645"/>
      <c r="M192" s="645"/>
      <c r="N192" s="645"/>
      <c r="O192" s="645"/>
      <c r="P192" s="646"/>
      <c r="Q192" s="642" t="str">
        <f>$B192</f>
        <v>K221</v>
      </c>
      <c r="R192" s="662"/>
      <c r="S192" s="663"/>
      <c r="T192" s="663"/>
      <c r="U192" s="663"/>
      <c r="V192" s="663"/>
      <c r="W192" s="664"/>
      <c r="X192" s="642" t="str">
        <f>$B192</f>
        <v>K221</v>
      </c>
      <c r="Y192" s="662"/>
      <c r="Z192" s="663"/>
      <c r="AA192" s="663"/>
      <c r="AB192" s="663"/>
      <c r="AC192" s="663"/>
      <c r="AD192" s="664"/>
      <c r="AE192" s="138"/>
      <c r="AF192" s="335"/>
      <c r="AG192" s="340"/>
      <c r="AH192" s="766"/>
      <c r="AI192" s="340"/>
      <c r="AJ192" s="397">
        <v>0.25</v>
      </c>
      <c r="AK192" s="43">
        <f t="shared" si="33"/>
        <v>7.4999999999999997E-2</v>
      </c>
      <c r="AL192" s="43">
        <v>0</v>
      </c>
      <c r="AM192" s="44"/>
      <c r="AN192" s="44"/>
      <c r="AO192" s="44" t="str">
        <f>IF(Check!S533=$AQ$4,AJ192,IF(Check!S533=$AQ$6,AK192,IF(OR(Check!S533=$AQ$5,AO191=""),AL192,"NB")))</f>
        <v>NB</v>
      </c>
      <c r="AP192" s="44"/>
      <c r="AQ192" s="44"/>
      <c r="AR192" s="44"/>
      <c r="AS192" s="41"/>
      <c r="AT192" s="41"/>
      <c r="AU192" s="41"/>
      <c r="AV192" s="442"/>
      <c r="AW192" s="44"/>
      <c r="AX192" s="41"/>
      <c r="AY192" s="38"/>
      <c r="AZ192" s="41"/>
      <c r="BA192" s="38"/>
      <c r="BB192" s="577"/>
      <c r="BC192" s="582"/>
      <c r="BD192" s="398"/>
      <c r="BE192" s="579"/>
      <c r="BF192" s="577"/>
      <c r="BG192" s="582"/>
      <c r="BH192" s="398"/>
      <c r="BI192" s="579"/>
      <c r="BJ192" s="138"/>
    </row>
    <row r="193" spans="1:62" ht="15" customHeight="1">
      <c r="A193" s="138"/>
      <c r="B193" s="642"/>
      <c r="C193" s="872" t="str">
        <f>IF(Tool!$H$7="Français",G193,IF(Tool!$H$7="Italiano",I193,E193))</f>
        <v>Stimmt folgende Aussage? ''Die Bauparzelle ist nicht vom städtischen Wärmeinseleffekt betroffen oder das Bauvorhaben trägt zur Abkühlung des Quartiers bei''</v>
      </c>
      <c r="D193" s="642"/>
      <c r="E193" s="872" t="s">
        <v>1419</v>
      </c>
      <c r="F193" s="642"/>
      <c r="G193" s="872" t="s">
        <v>912</v>
      </c>
      <c r="H193" s="642"/>
      <c r="I193" s="872" t="s">
        <v>917</v>
      </c>
      <c r="J193" s="642"/>
      <c r="K193" s="644"/>
      <c r="L193" s="645"/>
      <c r="M193" s="645"/>
      <c r="N193" s="645"/>
      <c r="O193" s="645"/>
      <c r="P193" s="646"/>
      <c r="Q193" s="642"/>
      <c r="R193" s="662"/>
      <c r="S193" s="663"/>
      <c r="T193" s="663"/>
      <c r="U193" s="663"/>
      <c r="V193" s="663"/>
      <c r="W193" s="664"/>
      <c r="X193" s="642"/>
      <c r="Y193" s="662"/>
      <c r="Z193" s="663"/>
      <c r="AA193" s="663"/>
      <c r="AB193" s="663"/>
      <c r="AC193" s="663"/>
      <c r="AD193" s="664"/>
      <c r="AE193" s="138"/>
      <c r="AF193" s="409"/>
      <c r="AG193" s="769"/>
      <c r="AH193" s="442"/>
      <c r="AI193" s="38"/>
      <c r="AJ193" s="43">
        <v>0.25</v>
      </c>
      <c r="AK193" s="43">
        <f t="shared" si="33"/>
        <v>7.4999999999999997E-2</v>
      </c>
      <c r="AL193" s="43">
        <v>0</v>
      </c>
      <c r="AM193" s="44"/>
      <c r="AN193" s="44"/>
      <c r="AO193" s="44" t="str">
        <f>IF(Check!S536=$AQ$4,AJ193,IF(Check!S536=$AQ$6,AK193,IF(OR(Check!S536=$AQ$5,AO191=""),AL193,"NB")))</f>
        <v>NB</v>
      </c>
      <c r="AP193" s="981"/>
      <c r="AQ193" s="44"/>
      <c r="AR193" s="44"/>
      <c r="AS193" s="146"/>
      <c r="AT193" s="1"/>
      <c r="AU193" s="1"/>
      <c r="AV193" s="442"/>
      <c r="AW193" s="44"/>
      <c r="AX193" s="1"/>
      <c r="AY193" s="38"/>
      <c r="AZ193" s="1"/>
      <c r="BA193" s="38"/>
      <c r="BB193" s="577"/>
      <c r="BC193" s="582"/>
      <c r="BD193" s="398"/>
      <c r="BE193" s="579"/>
      <c r="BF193" s="577"/>
      <c r="BG193" s="582"/>
      <c r="BH193" s="398"/>
      <c r="BI193" s="579"/>
      <c r="BJ193" s="138"/>
    </row>
    <row r="194" spans="1:62" ht="15" customHeight="1">
      <c r="A194" s="138"/>
      <c r="B194" s="642"/>
      <c r="C194" s="872" t="str">
        <f>IF(Tool!$H$7="Français",G194,IF(Tool!$H$7="Italiano",I194,E194))</f>
        <v>Stimmt folgende Aussage? ''Am Standort bestehen gemäss themenspezifischer Standortanalyse (Topografie, klimatische Bedingungen, meteorologische Muster) keine Hinweise auf Gefährdung durch Waldbrand oder es werden entsprechende Gegenmassnahmen getroffen''</v>
      </c>
      <c r="D194" s="642"/>
      <c r="E194" s="872" t="s">
        <v>915</v>
      </c>
      <c r="F194" s="642"/>
      <c r="G194" s="872" t="s">
        <v>920</v>
      </c>
      <c r="H194" s="642"/>
      <c r="I194" s="872" t="s">
        <v>918</v>
      </c>
      <c r="J194" s="642"/>
      <c r="K194" s="644"/>
      <c r="L194" s="645"/>
      <c r="M194" s="645"/>
      <c r="N194" s="645"/>
      <c r="O194" s="645"/>
      <c r="P194" s="646"/>
      <c r="Q194" s="642"/>
      <c r="R194" s="662"/>
      <c r="S194" s="663"/>
      <c r="T194" s="663"/>
      <c r="U194" s="663"/>
      <c r="V194" s="663"/>
      <c r="W194" s="664"/>
      <c r="X194" s="642"/>
      <c r="Y194" s="662"/>
      <c r="Z194" s="663"/>
      <c r="AA194" s="663"/>
      <c r="AB194" s="663"/>
      <c r="AC194" s="663"/>
      <c r="AD194" s="664"/>
      <c r="AE194" s="138"/>
      <c r="AF194" s="335"/>
      <c r="AG194" s="340"/>
      <c r="AH194" s="766"/>
      <c r="AI194" s="340"/>
      <c r="AJ194" s="43">
        <v>0.25</v>
      </c>
      <c r="AK194" s="43">
        <f t="shared" si="33"/>
        <v>7.4999999999999997E-2</v>
      </c>
      <c r="AL194" s="43">
        <v>0</v>
      </c>
      <c r="AM194" s="44"/>
      <c r="AN194" s="44"/>
      <c r="AO194" s="44" t="str">
        <f>IF(Check!S539=$AQ$4,AJ194,IF(Check!S539=$AQ$6,AK194,IF(OR(Check!S539=$AQ$5,AO191=""),AL194,"NB")))</f>
        <v>NB</v>
      </c>
      <c r="AP194" s="44"/>
      <c r="AQ194" s="44"/>
      <c r="AR194" s="44"/>
      <c r="AS194" s="41"/>
      <c r="AT194" s="41"/>
      <c r="AU194" s="41"/>
      <c r="AV194" s="442"/>
      <c r="AW194" s="44"/>
      <c r="AX194" s="1"/>
      <c r="AY194" s="38"/>
      <c r="AZ194" s="1"/>
      <c r="BA194" s="38"/>
      <c r="BB194" s="577"/>
      <c r="BC194" s="582"/>
      <c r="BD194" s="398"/>
      <c r="BE194" s="579"/>
      <c r="BF194" s="577"/>
      <c r="BG194" s="582"/>
      <c r="BH194" s="398"/>
      <c r="BI194" s="579"/>
      <c r="BJ194" s="138"/>
    </row>
    <row r="195" spans="1:62" ht="15" customHeight="1">
      <c r="A195" s="138"/>
      <c r="B195" s="642"/>
      <c r="C195" s="872" t="str">
        <f>IF(Tool!$H$7="Français",G195,IF(Tool!$H$7="Italiano",I195,E195))</f>
        <v>Stimmt folgende Aussage: ''Am Standort bestehen gemäss themenspezifischer Standortanalyse (Topografie, Vegetation, klimatische Bedingungen) keine Hinweise auf Gefährdung durch Extremwetterereignisse wie Tornados oder es werden entsprechende Gegenmassnahmen getroffen''</v>
      </c>
      <c r="D195" s="642"/>
      <c r="E195" s="872" t="s">
        <v>916</v>
      </c>
      <c r="F195" s="642"/>
      <c r="G195" s="872" t="s">
        <v>921</v>
      </c>
      <c r="H195" s="642"/>
      <c r="I195" s="872" t="s">
        <v>919</v>
      </c>
      <c r="J195" s="642"/>
      <c r="K195" s="644"/>
      <c r="L195" s="645"/>
      <c r="M195" s="645"/>
      <c r="N195" s="645"/>
      <c r="O195" s="645"/>
      <c r="P195" s="646"/>
      <c r="Q195" s="642"/>
      <c r="R195" s="662"/>
      <c r="S195" s="663"/>
      <c r="T195" s="663"/>
      <c r="U195" s="663"/>
      <c r="V195" s="663"/>
      <c r="W195" s="664"/>
      <c r="X195" s="642"/>
      <c r="Y195" s="662"/>
      <c r="Z195" s="663"/>
      <c r="AA195" s="663"/>
      <c r="AB195" s="663"/>
      <c r="AC195" s="663"/>
      <c r="AD195" s="664"/>
      <c r="AE195" s="138"/>
      <c r="AF195" s="335"/>
      <c r="AG195" s="340"/>
      <c r="AH195" s="766"/>
      <c r="AI195" s="340"/>
      <c r="AJ195" s="1055">
        <v>0.25</v>
      </c>
      <c r="AK195" s="43">
        <f t="shared" si="33"/>
        <v>7.4999999999999997E-2</v>
      </c>
      <c r="AL195" s="43">
        <v>0</v>
      </c>
      <c r="AM195" s="44"/>
      <c r="AN195" s="44"/>
      <c r="AO195" s="44" t="str">
        <f>IF(Check!S542=$AQ$4,AJ195,IF(Check!S542=$AQ$6,AK195,IF(OR(Check!S542=$AQ$5,AO191=""),AL195,"NB")))</f>
        <v>NB</v>
      </c>
      <c r="AP195" s="44"/>
      <c r="AQ195" s="44"/>
      <c r="AR195" s="44"/>
      <c r="AS195" s="41"/>
      <c r="AT195" s="41"/>
      <c r="AU195" s="41"/>
      <c r="AV195" s="442"/>
      <c r="AW195" s="44"/>
      <c r="AX195" s="1"/>
      <c r="AY195" s="38"/>
      <c r="AZ195" s="1"/>
      <c r="BA195" s="38"/>
      <c r="BB195" s="577"/>
      <c r="BC195" s="582"/>
      <c r="BD195" s="398"/>
      <c r="BE195" s="579"/>
      <c r="BF195" s="577"/>
      <c r="BG195" s="582"/>
      <c r="BH195" s="398"/>
      <c r="BI195" s="579"/>
      <c r="BJ195" s="138"/>
    </row>
    <row r="196" spans="1:62" ht="15" customHeight="1">
      <c r="A196" s="138"/>
      <c r="B196" s="523">
        <v>222</v>
      </c>
      <c r="C196" s="874" t="str">
        <f>IF(Tool!$H$7="Français",G196,IF(Tool!$H$7="Italiano",I196,E196))</f>
        <v>Wurden explizite Massnahmen zur Stabilisierung oder Verringerung des Flächenverbrauchs pro Person getroffen?</v>
      </c>
      <c r="D196" s="523">
        <f>$B196</f>
        <v>222</v>
      </c>
      <c r="E196" s="524" t="str">
        <f>IF(AND(AG$26=AG$6,OR(AG$25=AF$4,AG$25=AF$5)),O196,IF(AND(AG$26=AG$6,OR(AG$25=AF$6,AG$25=AF$7)),P196,"Wurden explizite Massnahmen zur Stabilisierung oder Verringerung des Flächenverbrauchs pro Person getroffen?"))</f>
        <v>Wurden explizite Massnahmen zur Stabilisierung oder Verringerung des Flächenverbrauchs pro Person getroffen?</v>
      </c>
      <c r="F196" s="523">
        <f>$B196</f>
        <v>222</v>
      </c>
      <c r="G196" s="535" t="str">
        <f>IF(AND(AG$26=AG$6,OR(AG$25=AF$4,AG$25=AF$5)),V196,IF(AND(AG$26=AG$6,OR(AG$25=AF$6,AG$25=AF$7)),W196,"Des mesures claires ont-elles été convenues pour stabiliser ou réduire la surface du projet par utilisateur ?"))</f>
        <v>Des mesures claires ont-elles été convenues pour stabiliser ou réduire la surface du projet par utilisateur ?</v>
      </c>
      <c r="H196" s="523">
        <f>$B196</f>
        <v>222</v>
      </c>
      <c r="I196" s="535" t="str">
        <f>IF(AND(AG$26=AG$6,OR(AG$25=AF$4,AG$25=AF$5)),AC196,IF(AND(AG$26=AG$6,OR(AG$25=AF$6,AG$25=AF$7)),AD196,"Sono state adottate misure esplicite per stabilizzare o ridurre il consumo di suolo per persona?"))</f>
        <v>Sono state adottate misure esplicite per stabilizzare o ridurre il consumo di suolo per persona?</v>
      </c>
      <c r="J196" s="523">
        <f>$B196</f>
        <v>222</v>
      </c>
      <c r="K196" s="950"/>
      <c r="L196" s="951"/>
      <c r="M196" s="951"/>
      <c r="N196" s="951"/>
      <c r="O196" s="951" t="s">
        <v>922</v>
      </c>
      <c r="P196" s="953" t="s">
        <v>762</v>
      </c>
      <c r="Q196" s="523">
        <f>$B196</f>
        <v>222</v>
      </c>
      <c r="R196" s="542"/>
      <c r="S196" s="543"/>
      <c r="T196" s="543"/>
      <c r="U196" s="543"/>
      <c r="V196" s="543" t="s">
        <v>923</v>
      </c>
      <c r="W196" s="544" t="s">
        <v>292</v>
      </c>
      <c r="X196" s="523">
        <f>$B196</f>
        <v>222</v>
      </c>
      <c r="Y196" s="542"/>
      <c r="Z196" s="543"/>
      <c r="AA196" s="543"/>
      <c r="AB196" s="543"/>
      <c r="AC196" s="543" t="s">
        <v>925</v>
      </c>
      <c r="AD196" s="544" t="s">
        <v>924</v>
      </c>
      <c r="AE196" s="138"/>
      <c r="AF196" s="1056">
        <f>AQ40</f>
        <v>213</v>
      </c>
      <c r="AG196" s="776" t="str">
        <f>AR40</f>
        <v>Wiederverwendung &amp; Systemtrennung</v>
      </c>
      <c r="AH196" s="1053"/>
      <c r="AI196" s="776"/>
      <c r="AJ196" s="554">
        <v>1</v>
      </c>
      <c r="AK196" s="554" t="s">
        <v>46</v>
      </c>
      <c r="AL196" s="555">
        <v>0</v>
      </c>
      <c r="AM196" s="552"/>
      <c r="AN196" s="552"/>
      <c r="AO196" s="552" t="str">
        <f>IF(Check!S545=$AQ$4,AJ196,IF(OR(Check!S545=$AQ$6,Check!S545=$AQ$5),AL196,"NB"))</f>
        <v>NB</v>
      </c>
      <c r="AP196" s="552" t="str">
        <f>IF(OR(AG$40=AQ$4,AG$41=AQ$4),1,"NB")</f>
        <v>NB</v>
      </c>
      <c r="AQ196" s="552" t="str">
        <f>IF(AP196=1,1,
IF(AO196=1,1,
IF(COUNTIF(AO197:AO200,"NB"),"NB",
IF(SUM(AO197:AO200)&gt;1,1,
IF(AND(SUM(AO197:AO200)&gt;=0,SUM(AO197:AO200)&lt;=1),SUM(AO197:AO200),"NB")))))</f>
        <v>NB</v>
      </c>
      <c r="AR196" s="552"/>
      <c r="AS196" s="553" t="str">
        <f>IF(AQ196="NB","NB",AQ196)</f>
        <v>NB</v>
      </c>
      <c r="AT196" s="1054"/>
      <c r="AU196" s="1054"/>
      <c r="AV196" s="701"/>
      <c r="AW196" s="1492" t="str">
        <f>AS196</f>
        <v>NB</v>
      </c>
      <c r="AX196" s="655"/>
      <c r="AY196" s="1493"/>
      <c r="AZ196" s="1054"/>
      <c r="BA196" s="1544" t="str">
        <f>AW196</f>
        <v>NB</v>
      </c>
      <c r="BB196" s="577" t="str">
        <f>IF($AS$196="NB","",
IF($AS$196&gt;=0.85,AF196&amp;" "&amp;AG196&amp;"; ",""))</f>
        <v/>
      </c>
      <c r="BC196" s="582" t="str">
        <f>IF($AS$196="NB","",
IF(AND($AS$196&gt;=0.65,$AS$196&lt;0.85),AF196&amp;" "&amp;AG196&amp;"; ",""))</f>
        <v/>
      </c>
      <c r="BD196" s="398" t="str">
        <f>IF($AS$196="NB","",
IF(AND($AS$196&gt;=0.5,$AS$196&lt;0.65),AF196&amp;" "&amp;AG196&amp;"; ",""))</f>
        <v/>
      </c>
      <c r="BE196" s="579" t="str">
        <f>IF($AS$196="NB","",
IF($AS$196&lt;0.5,AF196&amp;" "&amp;AG196&amp;"; ",""))</f>
        <v/>
      </c>
      <c r="BF196" s="577" t="str">
        <f>IF($AS$196="NB","",
IF($AS$196&gt;=0.85,AF196&amp;" ",""))</f>
        <v/>
      </c>
      <c r="BG196" s="582" t="str">
        <f>IF($AS$196="NB","",
IF(AND($AS$196&gt;=0.65,$AS$196&lt;0.85),AF196&amp;" ",""))</f>
        <v/>
      </c>
      <c r="BH196" s="398" t="str">
        <f>IF($AS$196="NB","",
IF(AND($AS$196&gt;=0.5,$AS$196&lt;0.65),AF196&amp;" ",""))</f>
        <v/>
      </c>
      <c r="BI196" s="579" t="str">
        <f>IF($AS$196="NB","",
IF($AS$196&lt;0.5,AF196&amp;" ",""))</f>
        <v/>
      </c>
      <c r="BJ196" s="138"/>
    </row>
    <row r="197" spans="1:62" ht="15" customHeight="1">
      <c r="A197" s="138"/>
      <c r="B197" s="523"/>
      <c r="C197" s="874" t="str">
        <f>IF(Tool!$H$7="Français",G197,IF(Tool!$H$7="Italiano",I197,E197))</f>
        <v>Werden explizite Massnahmen getroffen, um die Nutzungsintensität zu erhöhen, z. B. durch multifunktional nutzbare Räume?</v>
      </c>
      <c r="D197" s="523"/>
      <c r="E197" s="524" t="str">
        <f>IF(AG$26=AG$4,L197,"Werden explizite Massnahmen getroffen, um die Nutzungsintensität zu erhöhen, z. B. durch multifunktional nutzbare Räume?")</f>
        <v>Werden explizite Massnahmen getroffen, um die Nutzungsintensität zu erhöhen, z. B. durch multifunktional nutzbare Räume?</v>
      </c>
      <c r="F197" s="523"/>
      <c r="G197" s="535" t="str">
        <f>IF(AG$26=AG$4,S197,"Existe-t-il un concept pour intensifier l'utilisation du bâtiment ? (P. ex. avec des pièces multifonctionnelles et une affectation flexible)")</f>
        <v>Existe-t-il un concept pour intensifier l'utilisation du bâtiment ? (P. ex. avec des pièces multifonctionnelles et une affectation flexible)</v>
      </c>
      <c r="H197" s="523"/>
      <c r="I197" s="535" t="str">
        <f>IF(AG$26=AG$4,Z197,"Sono state adottate misure esplicite per aumentare l'intensità d'uso, ad esempio attraverso sale multifunzionali?")</f>
        <v>Sono state adottate misure esplicite per aumentare l'intensità d'uso, ad esempio attraverso sale multifunzionali?</v>
      </c>
      <c r="J197" s="523"/>
      <c r="K197" s="950"/>
      <c r="L197" s="951" t="s">
        <v>928</v>
      </c>
      <c r="M197" s="951"/>
      <c r="N197" s="951"/>
      <c r="O197" s="951"/>
      <c r="P197" s="953"/>
      <c r="Q197" s="523"/>
      <c r="R197" s="542"/>
      <c r="S197" s="543" t="s">
        <v>929</v>
      </c>
      <c r="T197" s="543"/>
      <c r="U197" s="543"/>
      <c r="V197" s="543"/>
      <c r="W197" s="544"/>
      <c r="X197" s="523"/>
      <c r="Y197" s="542"/>
      <c r="Z197" s="543" t="s">
        <v>930</v>
      </c>
      <c r="AA197" s="543"/>
      <c r="AB197" s="543"/>
      <c r="AC197" s="543"/>
      <c r="AD197" s="544"/>
      <c r="AE197" s="138" t="s">
        <v>28</v>
      </c>
      <c r="AF197" s="335"/>
      <c r="AG197" s="340"/>
      <c r="AH197" s="766"/>
      <c r="AI197" s="340"/>
      <c r="AJ197" s="397">
        <v>0.25</v>
      </c>
      <c r="AK197" s="43">
        <f t="shared" si="33"/>
        <v>7.4999999999999997E-2</v>
      </c>
      <c r="AL197" s="43">
        <v>0</v>
      </c>
      <c r="AM197" s="44"/>
      <c r="AN197" s="44"/>
      <c r="AO197" s="44" t="str">
        <f>IF(Check!S548=$AQ$4,AJ197,IF(Check!S548=$AQ$6,AK197,IF(OR(Check!S548=$AQ$5,AO196=""),AL197,"NB")))</f>
        <v>NB</v>
      </c>
      <c r="AP197" s="44"/>
      <c r="AQ197" s="44"/>
      <c r="AR197" s="44"/>
      <c r="AS197" s="41"/>
      <c r="AT197" s="41"/>
      <c r="AU197" s="41"/>
      <c r="AV197" s="442"/>
      <c r="AW197" s="44"/>
      <c r="AX197" s="41"/>
      <c r="AY197" s="38"/>
      <c r="AZ197" s="41"/>
      <c r="BA197" s="38"/>
      <c r="BB197" s="577"/>
      <c r="BC197" s="582"/>
      <c r="BD197" s="398"/>
      <c r="BE197" s="579"/>
      <c r="BF197" s="577"/>
      <c r="BG197" s="582"/>
      <c r="BH197" s="398"/>
      <c r="BI197" s="579"/>
      <c r="BJ197" s="138"/>
    </row>
    <row r="198" spans="1:62" ht="15" customHeight="1">
      <c r="A198" s="138"/>
      <c r="B198" s="523"/>
      <c r="C198" s="874" t="str">
        <f>IF(Tool!$H$7="Français",G198,IF(Tool!$H$7="Italiano",I198,E198))</f>
        <v>Wurden Zielvorgaben definiert, um Nutzungsnebenflächen (Lagerräume, Erschliessungsfläche usw.) im beheizten Raum zu verringern?</v>
      </c>
      <c r="D198" s="523"/>
      <c r="E198" s="524" t="s">
        <v>164</v>
      </c>
      <c r="F198" s="523"/>
      <c r="G198" s="535" t="s">
        <v>376</v>
      </c>
      <c r="H198" s="523"/>
      <c r="I198" s="535" t="s">
        <v>926</v>
      </c>
      <c r="J198" s="523"/>
      <c r="K198" s="950"/>
      <c r="L198" s="951"/>
      <c r="M198" s="951"/>
      <c r="N198" s="951"/>
      <c r="O198" s="951"/>
      <c r="P198" s="953"/>
      <c r="Q198" s="523"/>
      <c r="R198" s="542"/>
      <c r="S198" s="543"/>
      <c r="T198" s="543"/>
      <c r="U198" s="543"/>
      <c r="V198" s="543"/>
      <c r="W198" s="544"/>
      <c r="X198" s="523"/>
      <c r="Y198" s="542"/>
      <c r="Z198" s="543"/>
      <c r="AA198" s="543"/>
      <c r="AB198" s="543"/>
      <c r="AC198" s="543"/>
      <c r="AD198" s="544"/>
      <c r="AE198" s="138" t="s">
        <v>28</v>
      </c>
      <c r="AF198" s="409"/>
      <c r="AG198" s="769"/>
      <c r="AH198" s="442"/>
      <c r="AI198" s="38"/>
      <c r="AJ198" s="43">
        <v>0.25</v>
      </c>
      <c r="AK198" s="43">
        <f t="shared" si="33"/>
        <v>7.4999999999999997E-2</v>
      </c>
      <c r="AL198" s="43">
        <v>0</v>
      </c>
      <c r="AM198" s="44"/>
      <c r="AN198" s="44"/>
      <c r="AO198" s="44" t="str">
        <f>IF(Check!S551=$AQ$4,AJ198,IF(Check!S551=$AQ$6,AK198,IF(OR(Check!S551=$AQ$5,AO196=""),AL198,"NB")))</f>
        <v>NB</v>
      </c>
      <c r="AP198" s="981"/>
      <c r="AQ198" s="44"/>
      <c r="AR198" s="44"/>
      <c r="AS198" s="146"/>
      <c r="AT198" s="1"/>
      <c r="AU198" s="1"/>
      <c r="AV198" s="442"/>
      <c r="AW198" s="44"/>
      <c r="AX198" s="1"/>
      <c r="AY198" s="38"/>
      <c r="AZ198" s="1"/>
      <c r="BA198" s="38"/>
      <c r="BB198" s="577"/>
      <c r="BC198" s="582"/>
      <c r="BD198" s="398"/>
      <c r="BE198" s="579"/>
      <c r="BF198" s="577"/>
      <c r="BG198" s="582"/>
      <c r="BH198" s="398"/>
      <c r="BI198" s="579"/>
      <c r="BJ198" s="138"/>
    </row>
    <row r="199" spans="1:62" ht="15" customHeight="1">
      <c r="A199" s="138"/>
      <c r="B199" s="523"/>
      <c r="C199" s="874" t="str">
        <f>IF(Tool!$H$7="Français",G199,IF(Tool!$H$7="Italiano",I199,E199))</f>
        <v>Wird die Flächeneffizienz des Projekts im Laufe der Planung bewusst überprüft?</v>
      </c>
      <c r="D199" s="523"/>
      <c r="E199" s="524" t="s">
        <v>163</v>
      </c>
      <c r="F199" s="523"/>
      <c r="G199" s="535" t="s">
        <v>377</v>
      </c>
      <c r="H199" s="523"/>
      <c r="I199" s="535" t="s">
        <v>927</v>
      </c>
      <c r="J199" s="523"/>
      <c r="K199" s="950"/>
      <c r="L199" s="951"/>
      <c r="M199" s="951"/>
      <c r="N199" s="951"/>
      <c r="O199" s="951"/>
      <c r="P199" s="953"/>
      <c r="Q199" s="523"/>
      <c r="R199" s="542"/>
      <c r="S199" s="543"/>
      <c r="T199" s="543"/>
      <c r="U199" s="543"/>
      <c r="V199" s="543"/>
      <c r="W199" s="544"/>
      <c r="X199" s="523"/>
      <c r="Y199" s="542"/>
      <c r="Z199" s="543"/>
      <c r="AA199" s="543"/>
      <c r="AB199" s="543"/>
      <c r="AC199" s="543"/>
      <c r="AD199" s="544"/>
      <c r="AE199" s="138" t="s">
        <v>28</v>
      </c>
      <c r="AF199" s="335"/>
      <c r="AG199" s="340"/>
      <c r="AH199" s="766"/>
      <c r="AI199" s="340"/>
      <c r="AJ199" s="1055">
        <v>0.25</v>
      </c>
      <c r="AK199" s="43">
        <f t="shared" si="33"/>
        <v>7.4999999999999997E-2</v>
      </c>
      <c r="AL199" s="43">
        <v>0</v>
      </c>
      <c r="AM199" s="44"/>
      <c r="AN199" s="44"/>
      <c r="AO199" s="44" t="str">
        <f>IF(Check!S554=$AQ$4,AJ199,IF(Check!S554=$AQ$6,AK199,IF(OR(Check!S554=$AQ$5,AO196=""),AL199,"NB")))</f>
        <v>NB</v>
      </c>
      <c r="AP199" s="44"/>
      <c r="AQ199" s="44"/>
      <c r="AR199" s="44"/>
      <c r="AS199" s="41"/>
      <c r="AT199" s="41"/>
      <c r="AU199" s="41"/>
      <c r="AV199" s="442"/>
      <c r="AW199" s="44"/>
      <c r="AX199" s="1"/>
      <c r="AY199" s="38"/>
      <c r="AZ199" s="1"/>
      <c r="BA199" s="38"/>
      <c r="BB199" s="577"/>
      <c r="BC199" s="582"/>
      <c r="BD199" s="398"/>
      <c r="BE199" s="579"/>
      <c r="BF199" s="577"/>
      <c r="BG199" s="582"/>
      <c r="BH199" s="398"/>
      <c r="BI199" s="579"/>
      <c r="BJ199" s="138"/>
    </row>
    <row r="200" spans="1:62" ht="15" customHeight="1">
      <c r="A200" s="138"/>
      <c r="B200" s="523">
        <v>223</v>
      </c>
      <c r="C200" s="874" t="str">
        <f>IF(Tool!$H$7="Français",G200,IF(Tool!$H$7="Italiano",I200,E200))</f>
        <v>Besteht ein baulich und technisch umsetzbares Konzept, welches hohe Flexibilität sowie Variabilität in der Nutzung und im Ausbau des Gebäudes erlaubt?</v>
      </c>
      <c r="D200" s="523">
        <f>$B200</f>
        <v>223</v>
      </c>
      <c r="E200" s="524" t="s">
        <v>298</v>
      </c>
      <c r="F200" s="523">
        <f>$B200</f>
        <v>223</v>
      </c>
      <c r="G200" s="535" t="s">
        <v>241</v>
      </c>
      <c r="H200" s="523">
        <f>$B200</f>
        <v>223</v>
      </c>
      <c r="I200" s="535" t="s">
        <v>944</v>
      </c>
      <c r="J200" s="523">
        <f>$B200</f>
        <v>223</v>
      </c>
      <c r="K200" s="536"/>
      <c r="L200" s="537"/>
      <c r="M200" s="537"/>
      <c r="N200" s="537"/>
      <c r="O200" s="537"/>
      <c r="P200" s="538"/>
      <c r="Q200" s="523">
        <f>$B200</f>
        <v>223</v>
      </c>
      <c r="R200" s="967"/>
      <c r="S200" s="968"/>
      <c r="T200" s="968"/>
      <c r="U200" s="968"/>
      <c r="V200" s="968"/>
      <c r="W200" s="969"/>
      <c r="X200" s="523">
        <f>$B200</f>
        <v>223</v>
      </c>
      <c r="Y200" s="967"/>
      <c r="Z200" s="968"/>
      <c r="AA200" s="968"/>
      <c r="AB200" s="968"/>
      <c r="AC200" s="968"/>
      <c r="AD200" s="969"/>
      <c r="AE200" s="138" t="s">
        <v>28</v>
      </c>
      <c r="AF200" s="336"/>
      <c r="AG200" s="376"/>
      <c r="AH200" s="767"/>
      <c r="AI200" s="376"/>
      <c r="AJ200" s="413">
        <v>0.25</v>
      </c>
      <c r="AK200" s="413">
        <f>AJ200*0.3</f>
        <v>7.4999999999999997E-2</v>
      </c>
      <c r="AL200" s="406">
        <v>0</v>
      </c>
      <c r="AM200" s="1057">
        <v>0.08</v>
      </c>
      <c r="AN200" s="39"/>
      <c r="AO200" s="39" t="str">
        <f>IF(Check!S557=$AQ$4,AJ200,IF(OR(Check!S557=$AU$6,Check!S557=$AQ$6),AK200,IF(OR(Check!S557=$AQ$5,AO196=""),AL200,"NB")))</f>
        <v>NB</v>
      </c>
      <c r="AP200" s="39"/>
      <c r="AQ200" s="39"/>
      <c r="AR200" s="39"/>
      <c r="AS200" s="40"/>
      <c r="AT200" s="40"/>
      <c r="AU200" s="40"/>
      <c r="AV200" s="443"/>
      <c r="AW200" s="39"/>
      <c r="AX200" s="447"/>
      <c r="AY200" s="444"/>
      <c r="AZ200" s="447"/>
      <c r="BA200" s="444"/>
      <c r="BB200" s="703"/>
      <c r="BC200" s="583"/>
      <c r="BD200" s="408"/>
      <c r="BE200" s="580"/>
      <c r="BF200" s="703"/>
      <c r="BG200" s="583"/>
      <c r="BH200" s="408"/>
      <c r="BI200" s="580"/>
      <c r="BJ200" s="138"/>
    </row>
    <row r="201" spans="1:62" ht="15" customHeight="1">
      <c r="A201" s="138"/>
      <c r="B201" s="523"/>
      <c r="C201" s="874" t="str">
        <f>IF(Tool!$H$7="Français",G201,IF(Tool!$H$7="Italiano",I201,E201))</f>
        <v>Besteht eine hohe Vielfalt im Nutzungsangebot?</v>
      </c>
      <c r="D201" s="523"/>
      <c r="E201" s="524" t="str">
        <f>IF(AG$26=AG$4,L201,IF(AG$26=AG$5,M201,IF(AG$26=AG$4,O201,P201)))</f>
        <v>Besteht eine hohe Vielfalt im Nutzungsangebot?</v>
      </c>
      <c r="F201" s="523"/>
      <c r="G201" s="535" t="str">
        <f>IF(AG$26=AG$4,S201,IF(AG$26=AG$5,T201,IF(AG$26=AG$4,V201,W201)))</f>
        <v>Le projet offre-t-il une grande diversité de fonctions ?</v>
      </c>
      <c r="H201" s="523"/>
      <c r="I201" s="535" t="str">
        <f>IF(AG$26=AG$4,Z201,IF(AG$26=AG$5,AA201,IF(AG$26=AG$4,AC201,AD201)))</f>
        <v>C'è un alto livello di diversità nella gamma di offerta di utilizzi?</v>
      </c>
      <c r="J201" s="523"/>
      <c r="K201" s="950"/>
      <c r="L201" s="951" t="s">
        <v>763</v>
      </c>
      <c r="M201" s="951" t="s">
        <v>764</v>
      </c>
      <c r="N201" s="951"/>
      <c r="O201" s="951" t="s">
        <v>939</v>
      </c>
      <c r="P201" s="953" t="s">
        <v>299</v>
      </c>
      <c r="Q201" s="523"/>
      <c r="R201" s="970"/>
      <c r="S201" s="951" t="s">
        <v>358</v>
      </c>
      <c r="T201" s="951" t="s">
        <v>359</v>
      </c>
      <c r="U201" s="951"/>
      <c r="V201" s="951" t="s">
        <v>360</v>
      </c>
      <c r="W201" s="953" t="s">
        <v>357</v>
      </c>
      <c r="X201" s="523"/>
      <c r="Y201" s="970"/>
      <c r="Z201" s="951" t="s">
        <v>1815</v>
      </c>
      <c r="AA201" s="951" t="s">
        <v>1816</v>
      </c>
      <c r="AB201" s="951"/>
      <c r="AC201" s="951" t="s">
        <v>1817</v>
      </c>
      <c r="AD201" s="953" t="s">
        <v>1818</v>
      </c>
      <c r="AE201" s="138"/>
      <c r="AF201" s="1052">
        <f>AQ41</f>
        <v>221</v>
      </c>
      <c r="AG201" s="1041" t="str">
        <f>AR41</f>
        <v>Naturgefahren</v>
      </c>
      <c r="AH201" s="1053"/>
      <c r="AI201" s="776"/>
      <c r="AJ201" s="554">
        <v>1</v>
      </c>
      <c r="AK201" s="554" t="s">
        <v>46</v>
      </c>
      <c r="AL201" s="555">
        <v>0</v>
      </c>
      <c r="AM201" s="552"/>
      <c r="AN201" s="552"/>
      <c r="AO201" s="552" t="str">
        <f>IF(Check!S567=$AQ$4,AJ201,IF(OR(Check!S567=$AQ$6,Check!S567=$AQ$5),AL201,"NB"))</f>
        <v>NB</v>
      </c>
      <c r="AP201" s="552"/>
      <c r="AQ201" s="552" t="str">
        <f>IF(AP201=1,1,
IF(AO201=1,1,
IF(COUNTIF(AO202:AO205,"NB"),"NB",
IF(SUM(AO202:AO205)&gt;1,1,
IF(AND(SUM(AO202:AO205)&gt;=0,SUM(AO202:AO205)&lt;=1),SUM(AO202:AO205),"NB")))))</f>
        <v>NB</v>
      </c>
      <c r="AR201" s="552"/>
      <c r="AS201" s="553" t="str">
        <f>IF(AQ201="NB","NB",AQ201)</f>
        <v>NB</v>
      </c>
      <c r="AT201" s="1051" t="str">
        <f>IF(AND(AS201="NB",AS210="NB",AS214="NB"),"NB",SUM(AS201:AS221)/3)</f>
        <v>NB</v>
      </c>
      <c r="AU201" s="1054"/>
      <c r="AV201" s="1006"/>
      <c r="AW201" s="1485" t="str">
        <f>AS201</f>
        <v>NB</v>
      </c>
      <c r="AX201" s="1048" t="str">
        <f>IF(AND(AW201="NB",AW206="NB",AW214="NB",AW218="NB"),"NB",SUM(AW201:AW221)/4)</f>
        <v>NB</v>
      </c>
      <c r="AY201" s="1047"/>
      <c r="AZ201" s="1051" t="str">
        <f>AW201</f>
        <v>NB</v>
      </c>
      <c r="BA201" s="1543"/>
      <c r="BB201" s="577" t="str">
        <f>IF($AS$201="NB","",
IF($AS$201&gt;=0.85,AF201&amp;" "&amp;AG201&amp;"; ",""))</f>
        <v/>
      </c>
      <c r="BC201" s="582" t="str">
        <f>IF($AS$201="NB","",
IF(AND($AS$201&gt;=0.65,$AS$201&lt;0.85),AF201&amp;" "&amp;AG201&amp;"; ",""))</f>
        <v/>
      </c>
      <c r="BD201" s="398" t="str">
        <f>IF($AS$201="NB","",
IF(AND($AS$201&gt;=0.5,$AS$201&lt;0.65),AF201&amp;" "&amp;AG201&amp;"; ",""))</f>
        <v/>
      </c>
      <c r="BE201" s="579" t="str">
        <f>IF($AS$201="NB","",
IF($AS$201&lt;0.5,AF201&amp;" "&amp;AG201&amp;"; ",""))</f>
        <v/>
      </c>
      <c r="BF201" s="577" t="str">
        <f>IF($AS$201="NB","",
IF($AS$201&gt;=0.85,AF201&amp;" ",""))</f>
        <v/>
      </c>
      <c r="BG201" s="582" t="str">
        <f>IF($AS$201="NB","",
IF(AND($AS$201&gt;=0.65,$AS$201&lt;0.85),AF201&amp;" ",""))</f>
        <v/>
      </c>
      <c r="BH201" s="398" t="str">
        <f>IF($AS$201="NB","",
IF(AND($AS$201&gt;=0.5,$AS$201&lt;0.65),AF201&amp;" ",""))</f>
        <v/>
      </c>
      <c r="BI201" s="579" t="str">
        <f>IF($AS$201="NB","",
IF($AS$201&lt;0.5,AF201&amp;" ",""))</f>
        <v/>
      </c>
      <c r="BJ201" s="138"/>
    </row>
    <row r="202" spans="1:62" ht="15" customHeight="1">
      <c r="A202" s="138"/>
      <c r="B202" s="857"/>
      <c r="C202" s="874" t="str">
        <f>IF(Tool!$H$7="Français",G202,IF(Tool!$H$7="Italiano",I202,E202))</f>
        <v>Ist eine Änderung der Nutzung ohne einschneidenden Eingriff in das Tragsystem möglich? (z. B. Wohnen in Büros; Verwaltung in Wohnen, Gewerbe oder Schule; Bildungsbauten in andere Schultypen, Verwaltung oder Gewerbe)</v>
      </c>
      <c r="D202" s="857"/>
      <c r="E202" s="949" t="s">
        <v>765</v>
      </c>
      <c r="F202" s="523"/>
      <c r="G202" s="525" t="s">
        <v>378</v>
      </c>
      <c r="H202" s="523"/>
      <c r="I202" s="525" t="s">
        <v>945</v>
      </c>
      <c r="J202" s="523"/>
      <c r="K202" s="950"/>
      <c r="L202" s="951"/>
      <c r="M202" s="951"/>
      <c r="N202" s="951"/>
      <c r="O202" s="951"/>
      <c r="P202" s="953"/>
      <c r="Q202" s="523"/>
      <c r="R202" s="970"/>
      <c r="S202" s="951"/>
      <c r="T202" s="951"/>
      <c r="U202" s="951"/>
      <c r="V202" s="951"/>
      <c r="W202" s="953"/>
      <c r="X202" s="523"/>
      <c r="Y202" s="970"/>
      <c r="Z202" s="951"/>
      <c r="AA202" s="951"/>
      <c r="AB202" s="951"/>
      <c r="AC202" s="951"/>
      <c r="AD202" s="953"/>
      <c r="AE202" s="138" t="s">
        <v>28</v>
      </c>
      <c r="AF202" s="410"/>
      <c r="AG202" s="38"/>
      <c r="AH202" s="442"/>
      <c r="AI202" s="38"/>
      <c r="AJ202" s="397">
        <v>0.25</v>
      </c>
      <c r="AK202" s="43">
        <f t="shared" ref="AK202:AK209" si="34">AJ202*0.3</f>
        <v>7.4999999999999997E-2</v>
      </c>
      <c r="AL202" s="43">
        <v>0</v>
      </c>
      <c r="AM202" s="44"/>
      <c r="AN202" s="44"/>
      <c r="AO202" s="44" t="str">
        <f>IF(Check!S570=$AQ$4,AJ202,IF(Check!S570=$AQ$6,AK202,IF(OR(Check!S570=$AQ$5,AO201=""),AL202,"NB")))</f>
        <v>NB</v>
      </c>
      <c r="AP202" s="44"/>
      <c r="AQ202" s="44"/>
      <c r="AR202" s="44"/>
      <c r="AS202" s="41"/>
      <c r="AT202" s="41"/>
      <c r="AU202" s="41"/>
      <c r="AV202" s="442"/>
      <c r="AW202" s="44"/>
      <c r="AX202" s="41" t="s">
        <v>1634</v>
      </c>
      <c r="AY202" s="1550" t="str">
        <f>IF(AND(AZ201="NB",AZ206="NB",AZ218="NB"),"NB",SUM(AZ201:AZ221)/3)</f>
        <v>NB</v>
      </c>
      <c r="AZ202" s="41"/>
      <c r="BA202" s="38"/>
      <c r="BB202" s="577"/>
      <c r="BC202" s="582"/>
      <c r="BD202" s="398"/>
      <c r="BE202" s="579"/>
      <c r="BF202" s="577"/>
      <c r="BG202" s="582"/>
      <c r="BH202" s="398"/>
      <c r="BI202" s="579"/>
      <c r="BJ202" s="138"/>
    </row>
    <row r="203" spans="1:62" ht="15" customHeight="1">
      <c r="A203" s="138"/>
      <c r="B203" s="857"/>
      <c r="C203" s="874" t="str">
        <f>IF(Tool!$H$7="Français",G203,IF(Tool!$H$7="Italiano",I203,E203))</f>
        <v>Ist eine wesentliche Änderung der Raumaufteilung ohne einschneidenden Eingriff in das Tragsystem möglich? (z. B. durch nicht tragende Innenwände, Platzreserven für eine Ergänzung oder Nachrüstung der technischen Ausstattung, HLKS-Steigzonen für kleinere, voneinander unabhängig erschlossene Einheiten)</v>
      </c>
      <c r="D203" s="857"/>
      <c r="E203" s="949" t="str">
        <f>IF(AG$26=AG$4,L203,P203)</f>
        <v>Ist eine wesentliche Änderung der Raumaufteilung ohne einschneidenden Eingriff in das Tragsystem möglich? (z. B. durch nicht tragende Innenwände, Platzreserven für eine Ergänzung oder Nachrüstung der technischen Ausstattung, HLKS-Steigzonen für kleinere, voneinander unabhängig erschlossene Einheiten)</v>
      </c>
      <c r="F203" s="523"/>
      <c r="G203" s="525" t="str">
        <f>IF(AG$26=AG$4,S203,W203)</f>
        <v>Est-il possible de changer radicalement l'arrangement des espaces sans transformation significative de la structure ? (P. ex. en limitant les murs porteurs intérieurs, en réservant des places pour un complément ou une mise à niveau des aménagements techniques ou en prévoyant des colonnes montantes indépendantes pour des unités plus petites, desservies indépendamment les unes des autres)</v>
      </c>
      <c r="H203" s="523"/>
      <c r="I203" s="525" t="str">
        <f>IF(AG$26=AG$4,Z203,AD203)</f>
        <v>È possibile apportare modifiche significative alla disposizione dei locali senza interferire con il sistema portante? (ad es., pareti interne non portanti, riserve di spazio per l'aggiunta o l'ammodernamento di apparecchiature tecniche, zone di risalita HVAC per unità più piccole ad accesso indipendente)</v>
      </c>
      <c r="J203" s="523"/>
      <c r="K203" s="950"/>
      <c r="L203" s="951" t="s">
        <v>766</v>
      </c>
      <c r="M203" s="951"/>
      <c r="N203" s="951"/>
      <c r="O203" s="951"/>
      <c r="P203" s="953" t="s">
        <v>940</v>
      </c>
      <c r="Q203" s="523"/>
      <c r="R203" s="971"/>
      <c r="S203" s="951" t="s">
        <v>401</v>
      </c>
      <c r="T203" s="951"/>
      <c r="U203" s="951"/>
      <c r="V203" s="951"/>
      <c r="W203" s="953" t="s">
        <v>941</v>
      </c>
      <c r="X203" s="523"/>
      <c r="Y203" s="971"/>
      <c r="Z203" s="951" t="s">
        <v>942</v>
      </c>
      <c r="AA203" s="951"/>
      <c r="AB203" s="951"/>
      <c r="AC203" s="951"/>
      <c r="AD203" s="953" t="s">
        <v>943</v>
      </c>
      <c r="AE203" s="138" t="s">
        <v>28</v>
      </c>
      <c r="AF203" s="410"/>
      <c r="AG203" s="38"/>
      <c r="AH203" s="442"/>
      <c r="AI203" s="38"/>
      <c r="AJ203" s="43">
        <v>0.25</v>
      </c>
      <c r="AK203" s="43">
        <f t="shared" si="34"/>
        <v>7.4999999999999997E-2</v>
      </c>
      <c r="AL203" s="43">
        <v>0</v>
      </c>
      <c r="AM203" s="44"/>
      <c r="AN203" s="44"/>
      <c r="AO203" s="44" t="str">
        <f>IF(Check!S573=$AQ$4,AJ203,IF(Check!S573=$AQ$6,AK203,IF(OR(Check!S573=$AQ$5,AO201=""),AL203,"NB")))</f>
        <v>NB</v>
      </c>
      <c r="AP203" s="981"/>
      <c r="AQ203" s="44"/>
      <c r="AR203" s="44"/>
      <c r="AS203" s="146"/>
      <c r="AT203" s="1"/>
      <c r="AU203" s="1"/>
      <c r="AV203" s="442"/>
      <c r="AW203" s="44"/>
      <c r="AX203" s="41" t="s">
        <v>1635</v>
      </c>
      <c r="AY203" s="1550" t="str">
        <f>IF(BA214="NB","NB",SUM(BA201:BA221)/1)</f>
        <v>NB</v>
      </c>
      <c r="AZ203" s="1"/>
      <c r="BA203" s="38"/>
      <c r="BB203" s="577"/>
      <c r="BC203" s="582"/>
      <c r="BD203" s="398"/>
      <c r="BE203" s="579"/>
      <c r="BF203" s="577"/>
      <c r="BG203" s="582"/>
      <c r="BH203" s="398"/>
      <c r="BI203" s="579"/>
      <c r="BJ203" s="138"/>
    </row>
    <row r="204" spans="1:62" ht="15" customHeight="1">
      <c r="A204" s="138"/>
      <c r="B204" s="642" t="str">
        <f>IF(OR(Tool!H$7="Deutsch",Tool!H$7=""),"K223","C223")</f>
        <v>K223</v>
      </c>
      <c r="C204" s="872" t="str">
        <f>IF(Tool!$H$7="Français",G204,IF(Tool!$H$7="Italiano",I204,E204))</f>
        <v>Ist das Bauvorhaben so konzipiert, dass es den zunehmend wechselnden Bedingungen im Klimawandel angemessen anpassen lässt? (saisonal flexible Nutzung von Räumlichkeiten, flexible technische Infrastruktur und konzeptioneller Schutz vor Witterungseinflüssen im Aussenraum)</v>
      </c>
      <c r="D204" s="642" t="str">
        <f>$B204</f>
        <v>K223</v>
      </c>
      <c r="E204" s="940" t="s">
        <v>931</v>
      </c>
      <c r="F204" s="642" t="str">
        <f>$B204</f>
        <v>K223</v>
      </c>
      <c r="G204" s="671" t="s">
        <v>932</v>
      </c>
      <c r="H204" s="642" t="str">
        <f>$B204</f>
        <v>K223</v>
      </c>
      <c r="I204" s="671" t="s">
        <v>935</v>
      </c>
      <c r="J204" s="642" t="str">
        <f>$B204</f>
        <v>K223</v>
      </c>
      <c r="K204" s="644"/>
      <c r="L204" s="645"/>
      <c r="M204" s="645"/>
      <c r="N204" s="645"/>
      <c r="O204" s="645" t="s">
        <v>754</v>
      </c>
      <c r="P204" s="646"/>
      <c r="Q204" s="642" t="str">
        <f>$B204</f>
        <v>K223</v>
      </c>
      <c r="R204" s="662"/>
      <c r="S204" s="663"/>
      <c r="T204" s="663"/>
      <c r="U204" s="663"/>
      <c r="V204" s="663" t="s">
        <v>388</v>
      </c>
      <c r="W204" s="664"/>
      <c r="X204" s="642" t="str">
        <f>$B204</f>
        <v>K223</v>
      </c>
      <c r="Y204" s="662"/>
      <c r="Z204" s="663"/>
      <c r="AA204" s="663"/>
      <c r="AB204" s="663"/>
      <c r="AC204" s="663" t="s">
        <v>1819</v>
      </c>
      <c r="AD204" s="664"/>
      <c r="AE204" s="138" t="s">
        <v>28</v>
      </c>
      <c r="AF204" s="410"/>
      <c r="AG204" s="38"/>
      <c r="AH204" s="442"/>
      <c r="AI204" s="38"/>
      <c r="AJ204" s="43">
        <v>0.25</v>
      </c>
      <c r="AK204" s="43">
        <f t="shared" si="34"/>
        <v>7.4999999999999997E-2</v>
      </c>
      <c r="AL204" s="43">
        <v>0</v>
      </c>
      <c r="AM204" s="44"/>
      <c r="AN204" s="44"/>
      <c r="AO204" s="44" t="str">
        <f>IF(Check!S576=$AQ$4,AJ204,IF(Check!S576=$AQ$6,AK204,IF(OR(Check!S576=$AQ$5,AO201=""),AL204,"NB")))</f>
        <v>NB</v>
      </c>
      <c r="AP204" s="44"/>
      <c r="AQ204" s="44"/>
      <c r="AR204" s="44"/>
      <c r="AS204" s="41"/>
      <c r="AT204" s="41"/>
      <c r="AU204" s="41"/>
      <c r="AV204" s="442"/>
      <c r="AW204" s="44"/>
      <c r="AX204" s="41" t="s">
        <v>1647</v>
      </c>
      <c r="AY204" s="1550" t="str">
        <f>IF(AND(AZ201="NB",BA214="NB"),"NB",SUM(AZ201,BA214)/2)</f>
        <v>NB</v>
      </c>
      <c r="AZ204" s="1"/>
      <c r="BA204" s="38"/>
      <c r="BB204" s="577"/>
      <c r="BC204" s="582"/>
      <c r="BD204" s="398"/>
      <c r="BE204" s="579"/>
      <c r="BF204" s="577"/>
      <c r="BG204" s="582"/>
      <c r="BH204" s="398"/>
      <c r="BI204" s="579"/>
      <c r="BJ204" s="138"/>
    </row>
    <row r="205" spans="1:62" ht="15" customHeight="1">
      <c r="A205" s="138"/>
      <c r="B205" s="642"/>
      <c r="C205" s="872" t="str">
        <f>IF(Tool!$H$7="Français",G205,IF(Tool!$H$7="Italiano",I205,E205))</f>
        <v>Sind die Grundrisse so konzipiert, dass sie auch saisonale Nutzungsverschiebungen erlauben? (z. B. Aufenthalt in helle nordgerichtete Räume im Sommer sowie in warme südgerichtete Räume im Winter)</v>
      </c>
      <c r="D205" s="642"/>
      <c r="E205" s="940" t="s">
        <v>767</v>
      </c>
      <c r="F205" s="642"/>
      <c r="G205" s="671" t="s">
        <v>1808</v>
      </c>
      <c r="H205" s="642"/>
      <c r="I205" s="671" t="s">
        <v>936</v>
      </c>
      <c r="J205" s="642"/>
      <c r="K205" s="644"/>
      <c r="L205" s="645"/>
      <c r="M205" s="645"/>
      <c r="N205" s="645"/>
      <c r="O205" s="645"/>
      <c r="P205" s="646"/>
      <c r="Q205" s="642"/>
      <c r="R205" s="662"/>
      <c r="S205" s="663"/>
      <c r="T205" s="663"/>
      <c r="U205" s="663"/>
      <c r="V205" s="663"/>
      <c r="W205" s="664"/>
      <c r="X205" s="642"/>
      <c r="Y205" s="662"/>
      <c r="Z205" s="663"/>
      <c r="AA205" s="663"/>
      <c r="AB205" s="663"/>
      <c r="AC205" s="663"/>
      <c r="AD205" s="664"/>
      <c r="AE205" s="138"/>
      <c r="AF205" s="410"/>
      <c r="AG205" s="38"/>
      <c r="AH205" s="442"/>
      <c r="AI205" s="38"/>
      <c r="AJ205" s="1055">
        <v>0.25</v>
      </c>
      <c r="AK205" s="43">
        <f t="shared" si="34"/>
        <v>7.4999999999999997E-2</v>
      </c>
      <c r="AL205" s="43">
        <v>0</v>
      </c>
      <c r="AM205" s="44"/>
      <c r="AN205" s="44"/>
      <c r="AO205" s="44" t="str">
        <f>IF(Check!S579=$AQ$4,AJ205,IF(Check!S579=$AQ$6,AK205,IF(OR(Check!S579=$AQ$5,AO201=""),AL205,"NB")))</f>
        <v>NB</v>
      </c>
      <c r="AP205" s="44"/>
      <c r="AQ205" s="44"/>
      <c r="AR205" s="44"/>
      <c r="AS205" s="41"/>
      <c r="AT205" s="41"/>
      <c r="AU205" s="41"/>
      <c r="AV205" s="442"/>
      <c r="AW205" s="44"/>
      <c r="AX205" s="1"/>
      <c r="AY205" s="38"/>
      <c r="AZ205" s="1"/>
      <c r="BA205" s="38"/>
      <c r="BB205" s="577"/>
      <c r="BC205" s="582"/>
      <c r="BD205" s="398"/>
      <c r="BE205" s="579"/>
      <c r="BF205" s="577"/>
      <c r="BG205" s="582"/>
      <c r="BH205" s="398"/>
      <c r="BI205" s="579"/>
      <c r="BJ205" s="138"/>
    </row>
    <row r="206" spans="1:62" ht="15" customHeight="1">
      <c r="A206" s="138"/>
      <c r="B206" s="642"/>
      <c r="C206" s="872" t="str">
        <f>IF(Tool!$H$7="Français",G206,IF(Tool!$H$7="Italiano",I206,E206))</f>
        <v>Ist die technische Infrastruktur des Gebäudes flexibel genug gestaltet, um sich an Nutzungsverschiebungen im Kontext des Klimawandels anzupassen?</v>
      </c>
      <c r="D206" s="642"/>
      <c r="E206" s="940" t="s">
        <v>933</v>
      </c>
      <c r="F206" s="642"/>
      <c r="G206" s="671" t="s">
        <v>934</v>
      </c>
      <c r="H206" s="642"/>
      <c r="I206" s="671" t="s">
        <v>937</v>
      </c>
      <c r="J206" s="642"/>
      <c r="K206" s="644"/>
      <c r="L206" s="645"/>
      <c r="M206" s="645"/>
      <c r="N206" s="645"/>
      <c r="O206" s="645"/>
      <c r="P206" s="646"/>
      <c r="Q206" s="642"/>
      <c r="R206" s="662"/>
      <c r="S206" s="663"/>
      <c r="T206" s="663"/>
      <c r="U206" s="663"/>
      <c r="V206" s="663"/>
      <c r="W206" s="664"/>
      <c r="X206" s="642"/>
      <c r="Y206" s="662"/>
      <c r="Z206" s="663"/>
      <c r="AA206" s="663"/>
      <c r="AB206" s="663"/>
      <c r="AC206" s="663"/>
      <c r="AD206" s="664"/>
      <c r="AE206" s="138"/>
      <c r="AF206" s="1006" t="str">
        <f>AT$39</f>
        <v>K221</v>
      </c>
      <c r="AG206" s="1003" t="str">
        <f>AU39</f>
        <v>Standort &amp; Klimawandel</v>
      </c>
      <c r="AH206" s="1007"/>
      <c r="AI206" s="1003"/>
      <c r="AJ206" s="1008">
        <v>1</v>
      </c>
      <c r="AK206" s="1008" t="s">
        <v>46</v>
      </c>
      <c r="AL206" s="1008">
        <v>0</v>
      </c>
      <c r="AM206" s="1012"/>
      <c r="AN206" s="1012"/>
      <c r="AO206" s="1023" t="str">
        <f>IF(Check!S582=$AQ$4,AJ206,IF(OR(Check!S582=$AQ$6,Check!S582=$AQ$5),AL206,"NB"))</f>
        <v>NB</v>
      </c>
      <c r="AP206" s="1012"/>
      <c r="AQ206" s="1012"/>
      <c r="AR206" s="1012"/>
      <c r="AS206" s="1012"/>
      <c r="AT206" s="1012"/>
      <c r="AU206" s="1012"/>
      <c r="AV206" s="1009" t="str">
        <f>IF(AP206=1,1,
IF(AO206=1,1,
IF(COUNTIF(AO207:AO209,"NB"),"NB",
IF(SUM(AO207:AO209)&gt;1,1,
IF(AND(SUM(AO207:AO209)&gt;=0,SUM(AO207:AO209)&lt;=1),SUM(AO207:AO209),"NB")))))</f>
        <v>NB</v>
      </c>
      <c r="AW206" s="655" t="str">
        <f>IF(AV206="NB","NB",AV206)</f>
        <v>NB</v>
      </c>
      <c r="AX206" s="1012"/>
      <c r="AY206" s="1035"/>
      <c r="AZ206" s="1488" t="str">
        <f>AW206</f>
        <v>NB</v>
      </c>
      <c r="BA206" s="1035"/>
      <c r="BB206" s="577" t="str">
        <f>IF($AW$206="NB","",
IF($AW$206&gt;=0.85,AF206&amp;" "&amp;AG206&amp;"; ",""))</f>
        <v/>
      </c>
      <c r="BC206" s="582" t="str">
        <f>IF($AW$206="NB","",
IF(AND($AW$206&gt;=0.65,$AW$206&lt;0.85),AF206&amp;" "&amp;AG206&amp;"; ",""))</f>
        <v/>
      </c>
      <c r="BD206" s="398" t="str">
        <f>IF($AW$206="NB","",
IF(AND($AW$206&gt;=0.5,$AW$206&lt;0.65),AF206&amp;" "&amp;AG206&amp;"; ",""))</f>
        <v/>
      </c>
      <c r="BE206" s="579" t="str">
        <f>IF($AW$206="NB","",
IF($AW$206&lt;0.5,AF206&amp;" "&amp;AG206&amp;"; ",""))</f>
        <v/>
      </c>
      <c r="BF206" s="577" t="str">
        <f>IF($AW$206="NB","",
IF($AW$206&gt;=0.85,AF206&amp;" ",""))</f>
        <v/>
      </c>
      <c r="BG206" s="582" t="str">
        <f>IF($AW$206="NB","",
IF(AND($AW$206&gt;=0.65,$AW$206&lt;0.85),AF206&amp;" ",""))</f>
        <v/>
      </c>
      <c r="BH206" s="398" t="str">
        <f>IF($AW$206="NB","",
IF(AND($AW$206&gt;=0.5,$AW$206&lt;0.65),AF206&amp;" ",""))</f>
        <v/>
      </c>
      <c r="BI206" s="579" t="str">
        <f>IF($AW$206="NB","",
IF($AW$206&lt;0.5,AF206&amp;" ",""))</f>
        <v/>
      </c>
      <c r="BJ206" s="138"/>
    </row>
    <row r="207" spans="1:62" ht="15" customHeight="1">
      <c r="A207" s="138"/>
      <c r="B207" s="642"/>
      <c r="C207" s="872" t="str">
        <f>IF(Tool!$H$7="Français",G207,IF(Tool!$H$7="Italiano",I207,E207))</f>
        <v>Weist das Bauvorhaben genügend private Aussenräume auf, die eine Aufenthaltsmöglichkeit im Freien sowohl bei Unwettern (Schutz vor starken Regenfällen) als auch in Hitzeperioden (effizienter Sonnenschutz) erlaubt?</v>
      </c>
      <c r="D207" s="642"/>
      <c r="E207" s="940" t="s">
        <v>433</v>
      </c>
      <c r="F207" s="642"/>
      <c r="G207" s="671" t="s">
        <v>1809</v>
      </c>
      <c r="H207" s="642"/>
      <c r="I207" s="671" t="s">
        <v>938</v>
      </c>
      <c r="J207" s="642"/>
      <c r="K207" s="644" t="s">
        <v>331</v>
      </c>
      <c r="L207" s="645"/>
      <c r="M207" s="645"/>
      <c r="N207" s="645"/>
      <c r="O207" s="645"/>
      <c r="P207" s="646"/>
      <c r="Q207" s="642"/>
      <c r="R207" s="662" t="s">
        <v>403</v>
      </c>
      <c r="S207" s="663"/>
      <c r="T207" s="663"/>
      <c r="U207" s="663"/>
      <c r="V207" s="663"/>
      <c r="W207" s="664"/>
      <c r="X207" s="642"/>
      <c r="Y207" s="662" t="s">
        <v>1820</v>
      </c>
      <c r="Z207" s="663"/>
      <c r="AA207" s="663"/>
      <c r="AB207" s="663"/>
      <c r="AC207" s="663"/>
      <c r="AD207" s="664"/>
      <c r="AE207" s="138" t="s">
        <v>28</v>
      </c>
      <c r="AF207" s="409"/>
      <c r="AG207" s="769"/>
      <c r="AH207" s="771"/>
      <c r="AI207" s="769"/>
      <c r="AJ207" s="43">
        <f>AJ206/3</f>
        <v>0.33333333333333331</v>
      </c>
      <c r="AK207" s="43">
        <f t="shared" si="34"/>
        <v>9.9999999999999992E-2</v>
      </c>
      <c r="AL207" s="43">
        <v>0</v>
      </c>
      <c r="AM207" s="44"/>
      <c r="AN207" s="44"/>
      <c r="AO207" s="44" t="str">
        <f>IF(Check!S585=$AQ$4,AJ207,IF(Check!S585=$AQ$6,AK207,IF(OR(Check!S585=$AQ$5,AO206=""),AL207,"NB")))</f>
        <v>NB</v>
      </c>
      <c r="AP207" s="981"/>
      <c r="AQ207" s="44"/>
      <c r="AR207" s="44"/>
      <c r="AS207" s="146"/>
      <c r="AT207" s="41"/>
      <c r="AU207" s="41"/>
      <c r="AV207" s="442"/>
      <c r="AW207" s="44"/>
      <c r="AX207" s="41"/>
      <c r="AY207" s="42"/>
      <c r="AZ207" s="41"/>
      <c r="BA207" s="42"/>
      <c r="BB207" s="577"/>
      <c r="BC207" s="582"/>
      <c r="BD207" s="398"/>
      <c r="BE207" s="579"/>
      <c r="BF207" s="577"/>
      <c r="BG207" s="582"/>
      <c r="BH207" s="398"/>
      <c r="BI207" s="579"/>
      <c r="BJ207" s="138"/>
    </row>
    <row r="208" spans="1:62" ht="15" customHeight="1">
      <c r="A208" s="138"/>
      <c r="B208" s="528"/>
      <c r="C208" s="867" t="str">
        <f>IF(Tool!$H$7="Français",G208,IF(Tool!$H$7="Italiano",I208,E208))</f>
        <v>Regionalökonomie</v>
      </c>
      <c r="D208" s="528"/>
      <c r="E208" s="529" t="s">
        <v>1</v>
      </c>
      <c r="F208" s="528"/>
      <c r="G208" s="547" t="s">
        <v>855</v>
      </c>
      <c r="H208" s="547"/>
      <c r="I208" s="547" t="s">
        <v>856</v>
      </c>
      <c r="J208" s="533"/>
      <c r="K208" s="895" t="str">
        <f>E208</f>
        <v>Regionalökonomie</v>
      </c>
      <c r="L208" s="896"/>
      <c r="M208" s="896"/>
      <c r="N208" s="896"/>
      <c r="O208" s="896"/>
      <c r="P208" s="897"/>
      <c r="Q208" s="528"/>
      <c r="R208" s="892" t="s">
        <v>41</v>
      </c>
      <c r="S208" s="893"/>
      <c r="T208" s="893"/>
      <c r="U208" s="893"/>
      <c r="V208" s="893"/>
      <c r="W208" s="894"/>
      <c r="X208" s="528"/>
      <c r="Y208" s="2063" t="s">
        <v>41</v>
      </c>
      <c r="Z208" s="2064"/>
      <c r="AA208" s="2064"/>
      <c r="AB208" s="2064"/>
      <c r="AC208" s="2064"/>
      <c r="AD208" s="2065"/>
      <c r="AE208" s="138" t="s">
        <v>28</v>
      </c>
      <c r="AF208" s="409"/>
      <c r="AG208" s="769"/>
      <c r="AH208" s="771"/>
      <c r="AI208" s="769"/>
      <c r="AJ208" s="43">
        <f>AJ206/3</f>
        <v>0.33333333333333331</v>
      </c>
      <c r="AK208" s="43">
        <f t="shared" si="34"/>
        <v>9.9999999999999992E-2</v>
      </c>
      <c r="AL208" s="43">
        <v>0</v>
      </c>
      <c r="AM208" s="44"/>
      <c r="AN208" s="44"/>
      <c r="AO208" s="44" t="str">
        <f>IF(Check!S588=$AQ$4,AJ208,IF(Check!S588=$AQ$6,AK208,IF(OR(Check!S588=$AQ$5,AO206=""),AL208,"NB")))</f>
        <v>NB</v>
      </c>
      <c r="AP208" s="981"/>
      <c r="AQ208" s="44"/>
      <c r="AR208" s="44"/>
      <c r="AS208" s="146"/>
      <c r="AT208" s="41"/>
      <c r="AU208" s="41"/>
      <c r="AV208" s="442"/>
      <c r="AW208" s="44"/>
      <c r="AX208" s="41"/>
      <c r="AY208" s="42"/>
      <c r="AZ208" s="41"/>
      <c r="BA208" s="42"/>
      <c r="BB208" s="577"/>
      <c r="BC208" s="582"/>
      <c r="BD208" s="398"/>
      <c r="BE208" s="579"/>
      <c r="BF208" s="577"/>
      <c r="BG208" s="582"/>
      <c r="BH208" s="398"/>
      <c r="BI208" s="579"/>
      <c r="BJ208" s="138"/>
    </row>
    <row r="209" spans="1:62" ht="15" customHeight="1">
      <c r="A209" s="138"/>
      <c r="B209" s="526">
        <v>231</v>
      </c>
      <c r="C209" s="958" t="str">
        <f>IF(Tool!$H$7="Français",G209,IF(Tool!$H$7="Italiano",I209,E209))</f>
        <v>Werden bei Vergabe der Planungs- und Ausführungsarbeiten regional ansässige Unternehmen bewusst berücksichtigt bzw. wie hoch wird der entsprechende Anteil am Investitionsvolumens (BKP 2) voraussichtlich sein?</v>
      </c>
      <c r="D209" s="526">
        <f>$B209</f>
        <v>231</v>
      </c>
      <c r="E209" s="527" t="s">
        <v>332</v>
      </c>
      <c r="F209" s="526">
        <f>$B209</f>
        <v>231</v>
      </c>
      <c r="G209" s="1613" t="s">
        <v>946</v>
      </c>
      <c r="H209" s="526">
        <f>$B209</f>
        <v>231</v>
      </c>
      <c r="I209" s="1613" t="s">
        <v>947</v>
      </c>
      <c r="J209" s="526">
        <f>$B209</f>
        <v>231</v>
      </c>
      <c r="K209" s="716"/>
      <c r="L209" s="545"/>
      <c r="M209" s="545"/>
      <c r="N209" s="545"/>
      <c r="O209" s="960"/>
      <c r="P209" s="717"/>
      <c r="Q209" s="526">
        <f>$B209</f>
        <v>231</v>
      </c>
      <c r="R209" s="548"/>
      <c r="S209" s="549"/>
      <c r="T209" s="549"/>
      <c r="U209" s="549"/>
      <c r="V209" s="549"/>
      <c r="W209" s="550"/>
      <c r="X209" s="526">
        <f>$B209</f>
        <v>231</v>
      </c>
      <c r="Y209" s="548"/>
      <c r="Z209" s="549"/>
      <c r="AA209" s="549"/>
      <c r="AB209" s="549"/>
      <c r="AC209" s="549"/>
      <c r="AD209" s="550"/>
      <c r="AE209" s="138"/>
      <c r="AF209" s="335"/>
      <c r="AG209" s="340"/>
      <c r="AH209" s="766"/>
      <c r="AI209" s="340"/>
      <c r="AJ209" s="43">
        <f>AJ206/3</f>
        <v>0.33333333333333331</v>
      </c>
      <c r="AK209" s="43">
        <f t="shared" si="34"/>
        <v>9.9999999999999992E-2</v>
      </c>
      <c r="AL209" s="43">
        <v>0</v>
      </c>
      <c r="AM209" s="44"/>
      <c r="AN209" s="44"/>
      <c r="AO209" s="44" t="str">
        <f>IF(Check!S591=$AQ$4,AJ209,IF(Check!S591=$AQ$6,AK209,IF(OR(Check!S591=$AQ$5,AO206=""),AL209,"NB")))</f>
        <v>NB</v>
      </c>
      <c r="AP209" s="44"/>
      <c r="AQ209" s="44"/>
      <c r="AR209" s="44"/>
      <c r="AS209" s="41"/>
      <c r="AT209" s="41"/>
      <c r="AU209" s="41"/>
      <c r="AV209" s="442"/>
      <c r="AW209" s="44"/>
      <c r="AX209" s="41"/>
      <c r="AY209" s="42"/>
      <c r="AZ209" s="41"/>
      <c r="BA209" s="42"/>
      <c r="BB209" s="577"/>
      <c r="BC209" s="582"/>
      <c r="BD209" s="398"/>
      <c r="BE209" s="579"/>
      <c r="BF209" s="577"/>
      <c r="BG209" s="582"/>
      <c r="BH209" s="398"/>
      <c r="BI209" s="579"/>
      <c r="BJ209" s="138"/>
    </row>
    <row r="210" spans="1:62" ht="15" customHeight="1">
      <c r="A210" s="138"/>
      <c r="B210" s="142"/>
      <c r="C210" s="290"/>
      <c r="D210" s="142"/>
      <c r="E210" s="290"/>
      <c r="F210" s="142"/>
      <c r="G210" s="290"/>
      <c r="H210" s="290"/>
      <c r="I210" s="290"/>
      <c r="J210" s="142"/>
      <c r="K210" s="318"/>
      <c r="L210" s="318"/>
      <c r="M210" s="318"/>
      <c r="N210" s="318"/>
      <c r="O210" s="318"/>
      <c r="P210" s="318"/>
      <c r="Q210" s="142"/>
      <c r="R210" s="959"/>
      <c r="S210" s="959"/>
      <c r="T210" s="959"/>
      <c r="U210" s="318"/>
      <c r="V210" s="959"/>
      <c r="W210" s="318"/>
      <c r="X210" s="142"/>
      <c r="Y210" s="959"/>
      <c r="Z210" s="959"/>
      <c r="AA210" s="959"/>
      <c r="AB210" s="318"/>
      <c r="AC210" s="959"/>
      <c r="AD210" s="318"/>
      <c r="AE210" s="138" t="s">
        <v>28</v>
      </c>
      <c r="AF210" s="1056">
        <f>AQ42</f>
        <v>222</v>
      </c>
      <c r="AG210" s="776" t="str">
        <f>AR42</f>
        <v>Nutzungsdichte</v>
      </c>
      <c r="AH210" s="1053"/>
      <c r="AI210" s="776"/>
      <c r="AJ210" s="554">
        <v>1</v>
      </c>
      <c r="AK210" s="554" t="s">
        <v>46</v>
      </c>
      <c r="AL210" s="555">
        <v>0</v>
      </c>
      <c r="AM210" s="552"/>
      <c r="AN210" s="552"/>
      <c r="AO210" s="552" t="str">
        <f>IF(Check!S594=$AQ$4,AJ210,IF(OR(Check!S594=$AQ$6,Check!S594=$AQ$5),AL210,"NB"))</f>
        <v>NB</v>
      </c>
      <c r="AP210" s="552"/>
      <c r="AQ210" s="552" t="str">
        <f>IF(AP210=1,1,
IF(AO210=1,1,
IF(COUNTIF(AO211:AO213,"NB"),"NB",
IF(SUM(AO211:AO213)&gt;1,1,
IF(AND(SUM(AO211:AO213)&gt;=0,SUM(AO211:AO213)&lt;=1),SUM(AO211:AO213),"NB")))))</f>
        <v>NB</v>
      </c>
      <c r="AR210" s="552"/>
      <c r="AS210" s="553" t="str">
        <f>IF(AQ210="NB","NB",AQ210)</f>
        <v>NB</v>
      </c>
      <c r="AT210" s="1054"/>
      <c r="AU210" s="1054"/>
      <c r="AV210" s="780"/>
      <c r="AW210" s="552"/>
      <c r="AX210" s="1054"/>
      <c r="AY210" s="775"/>
      <c r="AZ210" s="1054"/>
      <c r="BA210" s="775"/>
      <c r="BB210" s="577" t="str">
        <f>IF($AS$210="NB","",
IF($AS$210&gt;=0.85,AF210&amp;" "&amp;AG210&amp;"; ",""))</f>
        <v/>
      </c>
      <c r="BC210" s="582" t="str">
        <f>IF($AS$210="NB","",
IF(AND($AS$210&gt;=0.65,$AS$210&lt;0.85),AF210&amp;" "&amp;AG210&amp;"; ",""))</f>
        <v/>
      </c>
      <c r="BD210" s="398" t="str">
        <f>IF($AS$210="NB","",
IF(AND($AS$210&gt;=0.5,$AS$210&lt;0.65),AF210&amp;" "&amp;AG210&amp;"; ",""))</f>
        <v/>
      </c>
      <c r="BE210" s="579" t="str">
        <f>IF($AS$210="NB","",
IF($AS$210&lt;0.5,AF210&amp;" "&amp;AG210&amp;"; ",""))</f>
        <v/>
      </c>
      <c r="BF210" s="577" t="str">
        <f>IF($AS$210="NB","",
IF($AS$210&gt;=0.85,AF210&amp;" ",""))</f>
        <v/>
      </c>
      <c r="BG210" s="582" t="str">
        <f>IF($AS$210="NB","",
IF(AND($AS$210&gt;=0.65,$AS$210&lt;0.85),AF210&amp;" ",""))</f>
        <v/>
      </c>
      <c r="BH210" s="398" t="str">
        <f>IF($AS$210="NB","",
IF(AND($AS$210&gt;=0.5,$AS$210&lt;0.65),AF210&amp;" ",""))</f>
        <v/>
      </c>
      <c r="BI210" s="579" t="str">
        <f>IF($AS$210="NB","",
IF($AS$210&lt;0.5,AF210&amp;" ",""))</f>
        <v/>
      </c>
      <c r="BJ210" s="138"/>
    </row>
    <row r="211" spans="1:62" ht="15" customHeight="1">
      <c r="A211" s="138"/>
      <c r="B211" s="665"/>
      <c r="C211" s="880" t="str">
        <f>IF(Tool!$H$7="Français",G211,IF(Tool!$H$7="Italiano",I211,E211))</f>
        <v>Umwelt</v>
      </c>
      <c r="D211" s="665"/>
      <c r="E211" s="556" t="s">
        <v>21</v>
      </c>
      <c r="F211" s="665"/>
      <c r="G211" s="558" t="s">
        <v>96</v>
      </c>
      <c r="H211" s="558"/>
      <c r="I211" s="558" t="s">
        <v>857</v>
      </c>
      <c r="J211" s="557"/>
      <c r="K211" s="2066" t="str">
        <f>E211</f>
        <v>Umwelt</v>
      </c>
      <c r="L211" s="2067"/>
      <c r="M211" s="2067"/>
      <c r="N211" s="2067"/>
      <c r="O211" s="2067"/>
      <c r="P211" s="2068"/>
      <c r="Q211" s="665"/>
      <c r="R211" s="2066" t="str">
        <f>G211</f>
        <v>Environnement</v>
      </c>
      <c r="S211" s="2067"/>
      <c r="T211" s="2067"/>
      <c r="U211" s="2067"/>
      <c r="V211" s="2067"/>
      <c r="W211" s="2068"/>
      <c r="X211" s="665"/>
      <c r="Y211" s="2066" t="str">
        <f>I211</f>
        <v>Ambiente</v>
      </c>
      <c r="Z211" s="2067"/>
      <c r="AA211" s="2067"/>
      <c r="AB211" s="2067"/>
      <c r="AC211" s="2067"/>
      <c r="AD211" s="2068"/>
      <c r="AE211" s="138" t="s">
        <v>28</v>
      </c>
      <c r="AF211" s="335"/>
      <c r="AG211" s="340"/>
      <c r="AH211" s="766"/>
      <c r="AI211" s="340"/>
      <c r="AJ211" s="397">
        <f>1/3</f>
        <v>0.33333333333333331</v>
      </c>
      <c r="AK211" s="43">
        <f>AJ211*0.3</f>
        <v>9.9999999999999992E-2</v>
      </c>
      <c r="AL211" s="43">
        <v>0</v>
      </c>
      <c r="AM211" s="44"/>
      <c r="AN211" s="44"/>
      <c r="AO211" s="44" t="str">
        <f>IF(Check!S597=$AQ$4,AJ211,IF(Check!S597=$AQ$6,AK211,IF(OR(Check!S597=$AQ$5,AO210=""),AL211,"NB")))</f>
        <v>NB</v>
      </c>
      <c r="AP211" s="44"/>
      <c r="AQ211" s="44"/>
      <c r="AR211" s="44"/>
      <c r="AS211" s="41"/>
      <c r="AT211" s="41"/>
      <c r="AU211" s="41"/>
      <c r="AV211" s="442"/>
      <c r="AW211" s="44"/>
      <c r="AX211" s="41"/>
      <c r="AY211" s="38"/>
      <c r="AZ211" s="41"/>
      <c r="BA211" s="38"/>
      <c r="BB211" s="577"/>
      <c r="BC211" s="582"/>
      <c r="BD211" s="398"/>
      <c r="BE211" s="579"/>
      <c r="BF211" s="577"/>
      <c r="BG211" s="582"/>
      <c r="BH211" s="398"/>
      <c r="BI211" s="579"/>
      <c r="BJ211" s="138"/>
    </row>
    <row r="212" spans="1:62" ht="15" customHeight="1">
      <c r="A212" s="138"/>
      <c r="B212" s="666"/>
      <c r="C212" s="868" t="str">
        <f>IF(Tool!$H$7="Français",G212,IF(Tool!$H$7="Italiano",I212,E212))</f>
        <v>Klimaschutz und Energie</v>
      </c>
      <c r="D212" s="666"/>
      <c r="E212" s="560" t="s">
        <v>858</v>
      </c>
      <c r="F212" s="666"/>
      <c r="G212" s="561" t="s">
        <v>859</v>
      </c>
      <c r="H212" s="561"/>
      <c r="I212" s="561" t="s">
        <v>860</v>
      </c>
      <c r="J212" s="559"/>
      <c r="K212" s="889" t="str">
        <f>E212</f>
        <v>Klimaschutz und Energie</v>
      </c>
      <c r="L212" s="890"/>
      <c r="M212" s="890"/>
      <c r="N212" s="890"/>
      <c r="O212" s="890"/>
      <c r="P212" s="891"/>
      <c r="Q212" s="666"/>
      <c r="R212" s="889" t="str">
        <f>G212</f>
        <v>Protection du climat et énergie</v>
      </c>
      <c r="S212" s="890"/>
      <c r="T212" s="890"/>
      <c r="U212" s="890"/>
      <c r="V212" s="890"/>
      <c r="W212" s="891"/>
      <c r="X212" s="666"/>
      <c r="Y212" s="955" t="str">
        <f>I212</f>
        <v>Protezione del clima ed energia</v>
      </c>
      <c r="Z212" s="956"/>
      <c r="AA212" s="956"/>
      <c r="AB212" s="956"/>
      <c r="AC212" s="956"/>
      <c r="AD212" s="957"/>
      <c r="AE212" s="138" t="s">
        <v>28</v>
      </c>
      <c r="AF212" s="409"/>
      <c r="AG212" s="769"/>
      <c r="AH212" s="442"/>
      <c r="AI212" s="38"/>
      <c r="AJ212" s="397">
        <f t="shared" ref="AJ212:AJ213" si="35">1/3</f>
        <v>0.33333333333333331</v>
      </c>
      <c r="AK212" s="43">
        <f t="shared" ref="AK212:AK213" si="36">AJ212*0.3</f>
        <v>9.9999999999999992E-2</v>
      </c>
      <c r="AL212" s="43">
        <v>0</v>
      </c>
      <c r="AM212" s="44"/>
      <c r="AN212" s="44"/>
      <c r="AO212" s="44" t="str">
        <f>IF(Check!S600=$AQ$4,AJ212,IF(Check!S600=$AQ$6,AK212,IF(OR(Check!S600=$AQ$5,AO210=""),AL212,"NB")))</f>
        <v>NB</v>
      </c>
      <c r="AP212" s="981"/>
      <c r="AQ212" s="44"/>
      <c r="AR212" s="44"/>
      <c r="AS212" s="146"/>
      <c r="AT212" s="1"/>
      <c r="AU212" s="1"/>
      <c r="AV212" s="442"/>
      <c r="AW212" s="44"/>
      <c r="AX212" s="1"/>
      <c r="AY212" s="38"/>
      <c r="AZ212" s="1"/>
      <c r="BA212" s="38"/>
      <c r="BB212" s="577"/>
      <c r="BC212" s="582"/>
      <c r="BD212" s="398"/>
      <c r="BE212" s="579"/>
      <c r="BF212" s="577"/>
      <c r="BG212" s="582"/>
      <c r="BH212" s="398"/>
      <c r="BI212" s="579"/>
      <c r="BJ212" s="138"/>
    </row>
    <row r="213" spans="1:62" ht="15" customHeight="1">
      <c r="A213" s="138"/>
      <c r="B213" s="667" t="s">
        <v>557</v>
      </c>
      <c r="C213" s="871" t="str">
        <f>IF(Tool!$H$7="Français",G213,IF(Tool!$H$7="Italiano",I213,E213))</f>
        <v>Wird eine Berechnung der Grauen Energie und Treibhausgasemissionen gemäss MB SIA 2032 vorgenommen und liegen die aufgewendete nicht erneuerbare Energie, respektive die emittierten Treibhausgase für die ''Erstellung'' des Bauvorhabens unterhalb des Grenzwerts 1 von Minergie-ECO?</v>
      </c>
      <c r="D213" s="667" t="str">
        <f>$B213</f>
        <v>311 321</v>
      </c>
      <c r="E213" s="562" t="s">
        <v>1079</v>
      </c>
      <c r="F213" s="667" t="str">
        <f>$B213</f>
        <v>311 321</v>
      </c>
      <c r="G213" s="563" t="s">
        <v>1848</v>
      </c>
      <c r="H213" s="667" t="str">
        <f>$B213</f>
        <v>311 321</v>
      </c>
      <c r="I213" s="563" t="s">
        <v>1826</v>
      </c>
      <c r="J213" s="667" t="str">
        <f>$B213</f>
        <v>311 321</v>
      </c>
      <c r="K213" s="564"/>
      <c r="L213" s="565"/>
      <c r="M213" s="565"/>
      <c r="N213" s="565"/>
      <c r="O213" s="565"/>
      <c r="P213" s="566"/>
      <c r="Q213" s="667" t="str">
        <f>$B213</f>
        <v>311 321</v>
      </c>
      <c r="R213" s="564"/>
      <c r="S213" s="565"/>
      <c r="T213" s="565"/>
      <c r="U213" s="565"/>
      <c r="V213" s="565"/>
      <c r="W213" s="567"/>
      <c r="X213" s="667" t="str">
        <f>$B213</f>
        <v>311 321</v>
      </c>
      <c r="Y213" s="564"/>
      <c r="Z213" s="565"/>
      <c r="AA213" s="565"/>
      <c r="AB213" s="565"/>
      <c r="AC213" s="565"/>
      <c r="AD213" s="567"/>
      <c r="AE213" s="138" t="s">
        <v>28</v>
      </c>
      <c r="AF213" s="335"/>
      <c r="AG213" s="340"/>
      <c r="AH213" s="766"/>
      <c r="AI213" s="340"/>
      <c r="AJ213" s="397">
        <f t="shared" si="35"/>
        <v>0.33333333333333331</v>
      </c>
      <c r="AK213" s="43">
        <f t="shared" si="36"/>
        <v>9.9999999999999992E-2</v>
      </c>
      <c r="AL213" s="43">
        <v>0</v>
      </c>
      <c r="AM213" s="44"/>
      <c r="AN213" s="44"/>
      <c r="AO213" s="44" t="str">
        <f>IF(Check!S603=$AQ$4,AJ213,IF(Check!S603=$AQ$6,AK213,IF(OR(Check!S603=$AQ$5,AO210=""),AL213,"NB")))</f>
        <v>NB</v>
      </c>
      <c r="AP213" s="44"/>
      <c r="AQ213" s="44"/>
      <c r="AR213" s="44"/>
      <c r="AS213" s="41"/>
      <c r="AT213" s="41"/>
      <c r="AU213" s="41"/>
      <c r="AV213" s="442"/>
      <c r="AW213" s="44"/>
      <c r="AX213" s="1"/>
      <c r="AY213" s="38"/>
      <c r="AZ213" s="1"/>
      <c r="BA213" s="38"/>
      <c r="BB213" s="577"/>
      <c r="BC213" s="582"/>
      <c r="BD213" s="398"/>
      <c r="BE213" s="579"/>
      <c r="BF213" s="577"/>
      <c r="BG213" s="582"/>
      <c r="BH213" s="398"/>
      <c r="BI213" s="579"/>
      <c r="BJ213" s="138"/>
    </row>
    <row r="214" spans="1:62" ht="15" customHeight="1">
      <c r="A214" s="138"/>
      <c r="B214" s="668"/>
      <c r="C214" s="871" t="str">
        <f>IF(Tool!$H$7="Français",G214,IF(Tool!$H$7="Italiano",I214,E214))</f>
        <v>Weist das Gebäude eine hohe Kompaktheit auf, bzw. ist das Verhältnis zwischen der Gebäudehüllenfläche zur Geschossfläche besonders tief?</v>
      </c>
      <c r="D214" s="668"/>
      <c r="E214" s="562" t="str">
        <f>IF(OR(AG$26=AF$6,AG$26=AF$7),K214,"Weist das Gebäude eine hohe Kompaktheit auf, bzw. ist das Verhältnis zwischen der Gebäudehüllenfläche zur Geschossfläche besonders tief?")</f>
        <v>Weist das Gebäude eine hohe Kompaktheit auf, bzw. ist das Verhältnis zwischen der Gebäudehüllenfläche zur Geschossfläche besonders tief?</v>
      </c>
      <c r="F214" s="668"/>
      <c r="G214" s="563" t="str">
        <f>IF(OR(AG$26=AF$6,AG$26=AF$7),R214,"Le projet se distingue-t-il par une architecture compacte et un rapport de la surface de l'enveloppe sur celle de plancher relativement bas ?")</f>
        <v>Le projet se distingue-t-il par une architecture compacte et un rapport de la surface de l'enveloppe sur celle de plancher relativement bas ?</v>
      </c>
      <c r="H214" s="668"/>
      <c r="I214" s="563" t="str">
        <f>IF(OR(AG$26=AF$6,AG$26=AF$7),Y214,"L'edificio è molto compatto o il rapporto tra la superficie dell'involucro edilizio e la superficie dei piani è particolarmente basso?")</f>
        <v>L'edificio è molto compatto o il rapporto tra la superficie dell'involucro edilizio e la superficie dei piani è particolarmente basso?</v>
      </c>
      <c r="J214" s="668"/>
      <c r="K214" s="564" t="s">
        <v>948</v>
      </c>
      <c r="L214" s="565"/>
      <c r="M214" s="565"/>
      <c r="N214" s="565"/>
      <c r="O214" s="565"/>
      <c r="P214" s="566"/>
      <c r="Q214" s="668"/>
      <c r="R214" s="564" t="s">
        <v>950</v>
      </c>
      <c r="S214" s="565"/>
      <c r="T214" s="565"/>
      <c r="U214" s="565"/>
      <c r="V214" s="565"/>
      <c r="W214" s="568"/>
      <c r="X214" s="668"/>
      <c r="Y214" s="564" t="s">
        <v>949</v>
      </c>
      <c r="Z214" s="565"/>
      <c r="AA214" s="565"/>
      <c r="AB214" s="565"/>
      <c r="AC214" s="565"/>
      <c r="AD214" s="568"/>
      <c r="AE214" s="138"/>
      <c r="AF214" s="1056">
        <f>AQ43</f>
        <v>223</v>
      </c>
      <c r="AG214" s="776" t="str">
        <f>AR43</f>
        <v>Nutzungsflexibilität &amp; -variabilität</v>
      </c>
      <c r="AH214" s="1053"/>
      <c r="AI214" s="776"/>
      <c r="AJ214" s="554">
        <v>1</v>
      </c>
      <c r="AK214" s="554" t="s">
        <v>46</v>
      </c>
      <c r="AL214" s="555">
        <v>0</v>
      </c>
      <c r="AM214" s="552"/>
      <c r="AN214" s="552"/>
      <c r="AO214" s="552" t="str">
        <f>IF(Check!S606=$AQ$4,AJ214,IF(OR(Check!S606=$AQ$6,Check!S606=$AQ$5),AL214,"NB"))</f>
        <v>NB</v>
      </c>
      <c r="AP214" s="552"/>
      <c r="AQ214" s="552" t="str">
        <f>IF(AP214=1,1,
IF(AO214=1,1,
IF(COUNTIF(AO215:AO217,"NB"),"NB",
IF(SUM(AO215:AO217)&gt;1,1,
IF(AND(SUM(AO215:AO217)&gt;=0,SUM(AO215:AO217)&lt;=1),SUM(AO215:AO217),"NB")))))</f>
        <v>NB</v>
      </c>
      <c r="AR214" s="552"/>
      <c r="AS214" s="553" t="str">
        <f>IF(AQ214="NB","NB",AQ214)</f>
        <v>NB</v>
      </c>
      <c r="AT214" s="1054"/>
      <c r="AU214" s="1054"/>
      <c r="AV214" s="701"/>
      <c r="AW214" s="1492" t="str">
        <f>AS214</f>
        <v>NB</v>
      </c>
      <c r="AX214" s="655"/>
      <c r="AY214" s="1493"/>
      <c r="AZ214" s="1054"/>
      <c r="BA214" s="1544" t="str">
        <f>AW214</f>
        <v>NB</v>
      </c>
      <c r="BB214" s="577" t="str">
        <f>IF($AS$214="NB","",
IF($AS$214&gt;=0.85,AF214&amp;" "&amp;AG214&amp;"; ",""))</f>
        <v/>
      </c>
      <c r="BC214" s="582" t="str">
        <f>IF($AS$214="NB","",
IF(AND($AS$214&gt;=0.65,$AS$214&lt;0.85),AF214&amp;" "&amp;AG214&amp;"; ",""))</f>
        <v/>
      </c>
      <c r="BD214" s="398" t="str">
        <f>IF($AS$214="NB","",
IF(AND($AS$214&gt;=0.5,$AS$214&lt;0.65),AF214&amp;" "&amp;AG214&amp;"; ",""))</f>
        <v/>
      </c>
      <c r="BE214" s="579" t="str">
        <f>IF($AS$214="NB","",
IF($AS$214&lt;0.5,AF214&amp;" "&amp;AG214&amp;"; ",""))</f>
        <v/>
      </c>
      <c r="BF214" s="577" t="str">
        <f>IF($AS$214="NB","",
IF($AS$214&gt;=0.85,AF214&amp;" ",""))</f>
        <v/>
      </c>
      <c r="BG214" s="582" t="str">
        <f>IF($AS$214="NB","",
IF(AND($AS$214&gt;=0.65,$AS$214&lt;0.85),AF214&amp;" ",""))</f>
        <v/>
      </c>
      <c r="BH214" s="398" t="str">
        <f>IF($AS$214="NB","",
IF(AND($AS$214&gt;=0.5,$AS$214&lt;0.65),AF214&amp;" ",""))</f>
        <v/>
      </c>
      <c r="BI214" s="579" t="str">
        <f>IF($AS$214="NB","",
IF($AS$214&lt;0.5,AF214&amp;" ",""))</f>
        <v/>
      </c>
      <c r="BJ214" s="138"/>
    </row>
    <row r="215" spans="1:62" ht="15" customHeight="1">
      <c r="A215" s="138"/>
      <c r="B215" s="667"/>
      <c r="C215" s="871" t="str">
        <f>IF(Tool!$H$7="Français",G215,IF(Tool!$H$7="Italiano",I215,E215))</f>
        <v>Ist der Grossteil der Tragstruktur des Gebäudes in Leichtbauweise konzipiert? (Kerne können in Massivbauweise ausgebildet sein)</v>
      </c>
      <c r="D215" s="667"/>
      <c r="E215" s="562" t="str">
        <f>IF(OR(AG$26=AF$6,AG$26=AF$7),K215,"Ist der Grossteil der Tragstruktur des Gebäudes in Leichtbauweise konzipiert? (Kerne können in Massivbauweise ausgebildet sein)")</f>
        <v>Ist der Grossteil der Tragstruktur des Gebäudes in Leichtbauweise konzipiert? (Kerne können in Massivbauweise ausgebildet sein)</v>
      </c>
      <c r="F215" s="667"/>
      <c r="G215" s="563" t="str">
        <f>IF(OR(AG$26=AF$6,AG$26=AF$7),R215,"La majeure partie de la structure porteuse du bâtiment est-elle conçue en tant que construction légère ? (les noyaux du bâtiment peuvent être construits en dur)")</f>
        <v>La majeure partie de la structure porteuse du bâtiment est-elle conçue en tant que construction légère ? (les noyaux du bâtiment peuvent être construits en dur)</v>
      </c>
      <c r="H215" s="667"/>
      <c r="I215" s="563" t="str">
        <f>IF(OR(AG$26=AF$6,AG$26=AF$7),Y215,"La maggior parte della struttura portante dell'edificio è progettata come una costruzione leggera? (i nuclei possono essere di costruzione solida)")</f>
        <v>La maggior parte della struttura portante dell'edificio è progettata come una costruzione leggera? (i nuclei possono essere di costruzione solida)</v>
      </c>
      <c r="J215" s="667"/>
      <c r="K215" s="564" t="s">
        <v>756</v>
      </c>
      <c r="L215" s="565"/>
      <c r="M215" s="565"/>
      <c r="N215" s="565"/>
      <c r="O215" s="565"/>
      <c r="P215" s="566"/>
      <c r="Q215" s="667"/>
      <c r="R215" s="564" t="s">
        <v>247</v>
      </c>
      <c r="S215" s="565"/>
      <c r="T215" s="565"/>
      <c r="U215" s="565"/>
      <c r="V215" s="565"/>
      <c r="W215" s="568"/>
      <c r="X215" s="667"/>
      <c r="Y215" s="564" t="s">
        <v>1821</v>
      </c>
      <c r="Z215" s="565"/>
      <c r="AA215" s="565"/>
      <c r="AB215" s="565"/>
      <c r="AC215" s="565"/>
      <c r="AD215" s="568"/>
      <c r="AE215" s="138"/>
      <c r="AF215" s="335"/>
      <c r="AG215" s="340"/>
      <c r="AH215" s="766"/>
      <c r="AI215" s="340"/>
      <c r="AJ215" s="397">
        <f>1/3</f>
        <v>0.33333333333333331</v>
      </c>
      <c r="AK215" s="43">
        <f>AJ215*0.3</f>
        <v>9.9999999999999992E-2</v>
      </c>
      <c r="AL215" s="43">
        <v>0</v>
      </c>
      <c r="AM215" s="44"/>
      <c r="AN215" s="44"/>
      <c r="AO215" s="44" t="str">
        <f>IF(Check!S609=$AQ$4,AJ215,IF(Check!S609=$AQ$6,AK215,IF(OR(Check!S609=$AQ$5,AO214=""),AL215,"NB")))</f>
        <v>NB</v>
      </c>
      <c r="AP215" s="44"/>
      <c r="AQ215" s="44"/>
      <c r="AR215" s="44"/>
      <c r="AS215" s="41"/>
      <c r="AT215" s="41"/>
      <c r="AU215" s="41"/>
      <c r="AV215" s="442"/>
      <c r="AW215" s="44"/>
      <c r="AX215" s="41"/>
      <c r="AY215" s="38"/>
      <c r="AZ215" s="41"/>
      <c r="BA215" s="38"/>
      <c r="BB215" s="577"/>
      <c r="BC215" s="582"/>
      <c r="BD215" s="398"/>
      <c r="BE215" s="579"/>
      <c r="BF215" s="577"/>
      <c r="BG215" s="582"/>
      <c r="BH215" s="398"/>
      <c r="BI215" s="579"/>
      <c r="BJ215" s="138"/>
    </row>
    <row r="216" spans="1:62" ht="15" customHeight="1">
      <c r="A216" s="138"/>
      <c r="B216" s="667"/>
      <c r="C216" s="871" t="str">
        <f>IF(Tool!$H$7="Français",G216,IF(Tool!$H$7="Italiano",I216,E216))</f>
        <v>Ist die Tragstruktur des Gebäudes so ausgelegt, dass sie sowohl eine effiziente vertikale Lastabtragung ermöglicht als auch die Spannweiten optimiert?</v>
      </c>
      <c r="D216" s="667"/>
      <c r="E216" s="562" t="str">
        <f>IF(OR(AG$26=AF$6,AG$26=AF$7),K216,"Ist die Tragstruktur des Gebäudes so ausgelegt, dass sie sowohl eine effiziente vertikale Lastabtragung ermöglicht als auch die Spannweiten optimiert?")</f>
        <v>Ist die Tragstruktur des Gebäudes so ausgelegt, dass sie sowohl eine effiziente vertikale Lastabtragung ermöglicht als auch die Spannweiten optimiert?</v>
      </c>
      <c r="F216" s="667"/>
      <c r="G216" s="563" t="str">
        <f>IF(OR(AG$26=AF$6,AG$26=AF$7),R216,"La structure porteuse du bâtiment est-elle conçue de manière à permettre à la fois un transfert de charge vertical efficace et une optimisation des portées ?")</f>
        <v>La structure porteuse du bâtiment est-elle conçue de manière à permettre à la fois un transfert de charge vertical efficace et une optimisation des portées ?</v>
      </c>
      <c r="H216" s="667"/>
      <c r="I216" s="563" t="str">
        <f>IF(OR(AG$26=AF$6,AG$26=AF$7),Y216,"La struttura portante dell'edificio è progettata in modo da consentire un efficiente trasferimento del carico verticale e ottimizzare le campate?")</f>
        <v>La struttura portante dell'edificio è progettata in modo da consentire un efficiente trasferimento del carico verticale e ottimizzare le campate?</v>
      </c>
      <c r="J216" s="667"/>
      <c r="K216" s="564" t="s">
        <v>755</v>
      </c>
      <c r="L216" s="565"/>
      <c r="M216" s="565"/>
      <c r="N216" s="565"/>
      <c r="O216" s="565"/>
      <c r="P216" s="566"/>
      <c r="Q216" s="667"/>
      <c r="R216" s="564" t="s">
        <v>246</v>
      </c>
      <c r="S216" s="565"/>
      <c r="T216" s="565"/>
      <c r="U216" s="565"/>
      <c r="V216" s="565"/>
      <c r="W216" s="568"/>
      <c r="X216" s="667"/>
      <c r="Y216" s="564" t="s">
        <v>951</v>
      </c>
      <c r="Z216" s="565"/>
      <c r="AA216" s="565"/>
      <c r="AB216" s="565"/>
      <c r="AC216" s="565"/>
      <c r="AD216" s="568"/>
      <c r="AE216" s="138" t="s">
        <v>28</v>
      </c>
      <c r="AF216" s="409"/>
      <c r="AG216" s="769"/>
      <c r="AH216" s="442"/>
      <c r="AI216" s="38"/>
      <c r="AJ216" s="397">
        <f t="shared" ref="AJ216:AJ217" si="37">1/3</f>
        <v>0.33333333333333331</v>
      </c>
      <c r="AK216" s="43">
        <f t="shared" ref="AK216:AK217" si="38">AJ216*0.3</f>
        <v>9.9999999999999992E-2</v>
      </c>
      <c r="AL216" s="43">
        <v>0</v>
      </c>
      <c r="AM216" s="44"/>
      <c r="AN216" s="44"/>
      <c r="AO216" s="44" t="str">
        <f>IF(Check!S612=$AQ$4,AJ216,IF(Check!S612=$AQ$6,AK216,IF(OR(Check!S612=$AQ$5,AO214=""),AL216,"NB")))</f>
        <v>NB</v>
      </c>
      <c r="AP216" s="981"/>
      <c r="AQ216" s="44"/>
      <c r="AR216" s="44"/>
      <c r="AS216" s="146"/>
      <c r="AT216" s="1"/>
      <c r="AU216" s="1"/>
      <c r="AV216" s="442"/>
      <c r="AW216" s="44"/>
      <c r="AX216" s="1"/>
      <c r="AY216" s="38"/>
      <c r="AZ216" s="1"/>
      <c r="BA216" s="38"/>
      <c r="BB216" s="577"/>
      <c r="BC216" s="582"/>
      <c r="BD216" s="398"/>
      <c r="BE216" s="579"/>
      <c r="BF216" s="577"/>
      <c r="BG216" s="582"/>
      <c r="BH216" s="398"/>
      <c r="BI216" s="579"/>
      <c r="BJ216" s="138"/>
    </row>
    <row r="217" spans="1:62" ht="15" customHeight="1">
      <c r="A217" s="138"/>
      <c r="B217" s="667"/>
      <c r="C217" s="871" t="str">
        <f>IF(Tool!$H$7="Français",G217,IF(Tool!$H$7="Italiano",I217,E217))</f>
        <v xml:space="preserve">Beträgt die Fensterfläche weniger als 50 % der gesamten Fassadenfläche des Gebäudes? </v>
      </c>
      <c r="D217" s="667"/>
      <c r="E217" s="562" t="str">
        <f>IF(OR(AG$26=AF$6,AG$26=AF$7),K217,"Beträgt die Fensterfläche weniger als 50 % der gesamten Fassadenfläche des Gebäudes? ")</f>
        <v xml:space="preserve">Beträgt die Fensterfläche weniger als 50 % der gesamten Fassadenfläche des Gebäudes? </v>
      </c>
      <c r="F217" s="667"/>
      <c r="G217" s="563" t="str">
        <f>IF(OR(AG$26=AF$6,AG$26=AF$7),R217,"La surface des fenêtres représente-t-elle moins de 50 % de la surface totale de la façade du bâtiment ? ")</f>
        <v xml:space="preserve">La surface des fenêtres représente-t-elle moins de 50 % de la surface totale de la façade du bâtiment ? </v>
      </c>
      <c r="H217" s="667"/>
      <c r="I217" s="563" t="str">
        <f>IF(OR(AG$26=AF$6,AG$26=AF$7),Y217,"La superficie delle finestre è inferiore al 50% della superficie totale della facciata dell'edificio? ")</f>
        <v xml:space="preserve">La superficie delle finestre è inferiore al 50% della superficie totale della facciata dell'edificio? </v>
      </c>
      <c r="J217" s="667"/>
      <c r="K217" s="564" t="s">
        <v>952</v>
      </c>
      <c r="L217" s="565"/>
      <c r="M217" s="565"/>
      <c r="N217" s="565"/>
      <c r="O217" s="565"/>
      <c r="P217" s="566"/>
      <c r="Q217" s="667"/>
      <c r="R217" s="564" t="s">
        <v>954</v>
      </c>
      <c r="S217" s="565"/>
      <c r="T217" s="565"/>
      <c r="U217" s="565"/>
      <c r="V217" s="565"/>
      <c r="W217" s="568"/>
      <c r="X217" s="667"/>
      <c r="Y217" s="564" t="s">
        <v>953</v>
      </c>
      <c r="Z217" s="565"/>
      <c r="AA217" s="565"/>
      <c r="AB217" s="565"/>
      <c r="AC217" s="565"/>
      <c r="AD217" s="568"/>
      <c r="AE217" s="138" t="s">
        <v>28</v>
      </c>
      <c r="AF217" s="335"/>
      <c r="AG217" s="340"/>
      <c r="AH217" s="766"/>
      <c r="AI217" s="340"/>
      <c r="AJ217" s="397">
        <f t="shared" si="37"/>
        <v>0.33333333333333331</v>
      </c>
      <c r="AK217" s="43">
        <f t="shared" si="38"/>
        <v>9.9999999999999992E-2</v>
      </c>
      <c r="AL217" s="43">
        <v>0</v>
      </c>
      <c r="AM217" s="44"/>
      <c r="AN217" s="44"/>
      <c r="AO217" s="44" t="str">
        <f>IF(Check!S615=$AQ$4,AJ217,IF(Check!S615=$AQ$6,AK217,IF(OR(Check!S615=$AQ$5,AO214=""),AL217,"NB")))</f>
        <v>NB</v>
      </c>
      <c r="AP217" s="44"/>
      <c r="AQ217" s="44"/>
      <c r="AR217" s="44"/>
      <c r="AS217" s="41"/>
      <c r="AT217" s="41"/>
      <c r="AU217" s="41"/>
      <c r="AV217" s="442"/>
      <c r="AW217" s="44"/>
      <c r="AX217" s="1"/>
      <c r="AY217" s="38"/>
      <c r="AZ217" s="1"/>
      <c r="BA217" s="38"/>
      <c r="BB217" s="577"/>
      <c r="BC217" s="582"/>
      <c r="BD217" s="398"/>
      <c r="BE217" s="579"/>
      <c r="BF217" s="577"/>
      <c r="BG217" s="582"/>
      <c r="BH217" s="398"/>
      <c r="BI217" s="579"/>
      <c r="BJ217" s="138"/>
    </row>
    <row r="218" spans="1:62" ht="15" customHeight="1">
      <c r="A218" s="138"/>
      <c r="B218" s="858"/>
      <c r="C218" s="871" t="str">
        <f>IF(Tool!$H$7="Français",G218,IF(Tool!$H$7="Italiano",I218,E218))</f>
        <v>Werden beim Bauvorhaben bewusst Materialien eingesetzt, welche einen geringen Erstellungsaufwand aufweisen (z. B. eine leichte statt schwere Fassadenbekleidung)?</v>
      </c>
      <c r="D218" s="668"/>
      <c r="E218" s="562" t="s">
        <v>757</v>
      </c>
      <c r="F218" s="668"/>
      <c r="G218" s="563" t="s">
        <v>1849</v>
      </c>
      <c r="H218" s="668"/>
      <c r="I218" s="563" t="s">
        <v>1827</v>
      </c>
      <c r="J218" s="668"/>
      <c r="K218" s="564"/>
      <c r="L218" s="565"/>
      <c r="M218" s="565"/>
      <c r="N218" s="565"/>
      <c r="O218" s="565"/>
      <c r="P218" s="566"/>
      <c r="Q218" s="668"/>
      <c r="R218" s="564"/>
      <c r="S218" s="565"/>
      <c r="T218" s="565"/>
      <c r="U218" s="565"/>
      <c r="V218" s="565"/>
      <c r="W218" s="568"/>
      <c r="X218" s="668"/>
      <c r="Y218" s="564"/>
      <c r="Z218" s="565"/>
      <c r="AA218" s="565"/>
      <c r="AB218" s="565"/>
      <c r="AC218" s="565"/>
      <c r="AD218" s="568"/>
      <c r="AE218" s="138"/>
      <c r="AF218" s="1006" t="str">
        <f>AT$40</f>
        <v>K223</v>
      </c>
      <c r="AG218" s="1003" t="str">
        <f>AU40</f>
        <v>Klima-Flexibilität &amp; Gebrauchstauglichkeit</v>
      </c>
      <c r="AH218" s="1007"/>
      <c r="AI218" s="1003"/>
      <c r="AJ218" s="1008">
        <v>1</v>
      </c>
      <c r="AK218" s="1008" t="s">
        <v>46</v>
      </c>
      <c r="AL218" s="1008">
        <v>0</v>
      </c>
      <c r="AM218" s="1012"/>
      <c r="AN218" s="1012"/>
      <c r="AO218" s="1023" t="str">
        <f>IF(Check!S618=$AQ$4,AJ218,IF(OR(Check!S618=$AQ$6,Check!S618=$AQ$5,Check!S618=$AU$6),AL218,"NB"))</f>
        <v>NB</v>
      </c>
      <c r="AP218" s="1012"/>
      <c r="AQ218" s="1012"/>
      <c r="AR218" s="1012"/>
      <c r="AS218" s="1012"/>
      <c r="AT218" s="1012"/>
      <c r="AU218" s="1012"/>
      <c r="AV218" s="1009" t="str">
        <f>IF(AP218=1,1,
IF(AO218=1,1,
IF(COUNTIF(AO219:AO221,"NB"),"NB",
IF(SUM(AO219:AO221)&gt;1,1,
IF(AND(SUM(AO219:AO221)&gt;=0,SUM(AO219:AO221)&lt;=1),SUM(AO219:AO221),"NB")))))</f>
        <v>NB</v>
      </c>
      <c r="AW218" s="655" t="str">
        <f>IF(AV218="NB","NB",AV218)</f>
        <v>NB</v>
      </c>
      <c r="AX218" s="1012"/>
      <c r="AY218" s="1035"/>
      <c r="AZ218" s="1488" t="str">
        <f>AW218</f>
        <v>NB</v>
      </c>
      <c r="BA218" s="1035"/>
      <c r="BB218" s="577" t="str">
        <f>IF($AW$218="NB","",
IF($AW$218&gt;=0.85,AF218&amp;" "&amp;AG218&amp;"; ",""))</f>
        <v/>
      </c>
      <c r="BC218" s="582" t="str">
        <f>IF($AW$218="NB","",
IF(AND($AW$218&gt;=0.65,$AW$218&lt;0.85),AF218&amp;" "&amp;AG218&amp;"; ",""))</f>
        <v/>
      </c>
      <c r="BD218" s="398" t="str">
        <f>IF($AW$218="NB","",
IF(AND($AW$218&gt;=0.5,$AW$218&lt;0.65),AF218&amp;" "&amp;AG218&amp;"; ",""))</f>
        <v/>
      </c>
      <c r="BE218" s="579" t="str">
        <f>IF($AW$218="NB","",
IF($AW$218&lt;0.5,AF218&amp;" "&amp;AG218&amp;"; ",""))</f>
        <v/>
      </c>
      <c r="BF218" s="577" t="str">
        <f>IF($AW$218="NB","",
IF($AW$218&gt;=0.85,AF218&amp;" ",""))</f>
        <v/>
      </c>
      <c r="BG218" s="582" t="str">
        <f>IF($AW$218="NB","",
IF(AND($AW$218&gt;=0.65,$AW$218&lt;0.85),AF218&amp;" ",""))</f>
        <v/>
      </c>
      <c r="BH218" s="398" t="str">
        <f>IF($AW$218="NB","",
IF(AND($AW$218&gt;=0.5,$AW$218&lt;0.65),AF218&amp;" ",""))</f>
        <v/>
      </c>
      <c r="BI218" s="579" t="str">
        <f>IF($AW$218="NB","",
IF($AW$218&lt;0.5,AF218&amp;" ",""))</f>
        <v/>
      </c>
      <c r="BJ218" s="138"/>
    </row>
    <row r="219" spans="1:62" ht="15" customHeight="1">
      <c r="A219" s="138"/>
      <c r="B219" s="667"/>
      <c r="C219" s="871" t="str">
        <f>IF(Tool!$H$7="Français",G219,IF(Tool!$H$7="Italiano",I219,E219))</f>
        <v>Werden im Rahmen des Bauprojektes keine Bauten zurückgebaut, die weniger als 60 Jahre alt sind?</v>
      </c>
      <c r="D219" s="667"/>
      <c r="E219" s="562" t="s">
        <v>955</v>
      </c>
      <c r="F219" s="667"/>
      <c r="G219" s="563" t="s">
        <v>1850</v>
      </c>
      <c r="H219" s="667"/>
      <c r="I219" s="563" t="s">
        <v>956</v>
      </c>
      <c r="J219" s="667"/>
      <c r="K219" s="564"/>
      <c r="L219" s="565"/>
      <c r="M219" s="565"/>
      <c r="N219" s="565"/>
      <c r="O219" s="565"/>
      <c r="P219" s="566"/>
      <c r="Q219" s="667"/>
      <c r="R219" s="564"/>
      <c r="S219" s="565"/>
      <c r="T219" s="565"/>
      <c r="U219" s="565"/>
      <c r="V219" s="565"/>
      <c r="W219" s="568"/>
      <c r="X219" s="667"/>
      <c r="Y219" s="564"/>
      <c r="Z219" s="565"/>
      <c r="AA219" s="565"/>
      <c r="AB219" s="565"/>
      <c r="AC219" s="565"/>
      <c r="AD219" s="568"/>
      <c r="AE219" s="138" t="s">
        <v>28</v>
      </c>
      <c r="AF219" s="409"/>
      <c r="AG219" s="769"/>
      <c r="AH219" s="771"/>
      <c r="AI219" s="769"/>
      <c r="AJ219" s="43">
        <f>AJ218/3</f>
        <v>0.33333333333333331</v>
      </c>
      <c r="AK219" s="43">
        <f t="shared" ref="AK219:AK221" si="39">AJ219*0.3</f>
        <v>9.9999999999999992E-2</v>
      </c>
      <c r="AL219" s="43">
        <v>0</v>
      </c>
      <c r="AM219" s="44"/>
      <c r="AN219" s="44"/>
      <c r="AO219" s="44" t="str">
        <f>IF(Check!S621=$AQ$4,AJ219,IF(Check!S621=$AQ$6,AK219,IF(OR(Check!S621=$AQ$5,AO218=""),AL219,"NB")))</f>
        <v>NB</v>
      </c>
      <c r="AP219" s="981"/>
      <c r="AQ219" s="44"/>
      <c r="AR219" s="44"/>
      <c r="AS219" s="146"/>
      <c r="AT219" s="41"/>
      <c r="AU219" s="41"/>
      <c r="AV219" s="442"/>
      <c r="AW219" s="44"/>
      <c r="AX219" s="41"/>
      <c r="AY219" s="42"/>
      <c r="AZ219" s="41"/>
      <c r="BA219" s="42"/>
      <c r="BB219" s="577"/>
      <c r="BC219" s="582"/>
      <c r="BD219" s="398"/>
      <c r="BE219" s="579"/>
      <c r="BF219" s="577"/>
      <c r="BG219" s="582"/>
      <c r="BH219" s="398"/>
      <c r="BI219" s="579"/>
      <c r="BJ219" s="138"/>
    </row>
    <row r="220" spans="1:62" ht="15" customHeight="1">
      <c r="A220" s="138"/>
      <c r="B220" s="668"/>
      <c r="C220" s="871" t="str">
        <f>IF(Tool!$H$7="Français",G220,IF(Tool!$H$7="Italiano",I220,E220))</f>
        <v>Ist der Anteil unterirdischer Geschossfläche weniger als 20% der gesamten Geschossfläche des Gebäudes?  (kein UG = «Ja»)</v>
      </c>
      <c r="D220" s="668"/>
      <c r="E220" s="562" t="s">
        <v>1943</v>
      </c>
      <c r="F220" s="668"/>
      <c r="G220" s="563" t="s">
        <v>1944</v>
      </c>
      <c r="H220" s="668"/>
      <c r="I220" s="563" t="s">
        <v>1942</v>
      </c>
      <c r="J220" s="668"/>
      <c r="K220" s="564"/>
      <c r="L220" s="565"/>
      <c r="M220" s="565"/>
      <c r="N220" s="565"/>
      <c r="O220" s="565"/>
      <c r="P220" s="566"/>
      <c r="Q220" s="668"/>
      <c r="R220" s="564"/>
      <c r="S220" s="565"/>
      <c r="T220" s="565"/>
      <c r="U220" s="565"/>
      <c r="V220" s="565"/>
      <c r="W220" s="568"/>
      <c r="X220" s="668"/>
      <c r="Y220" s="564"/>
      <c r="Z220" s="565"/>
      <c r="AA220" s="565"/>
      <c r="AB220" s="565"/>
      <c r="AC220" s="565"/>
      <c r="AD220" s="568"/>
      <c r="AE220" s="138" t="s">
        <v>28</v>
      </c>
      <c r="AF220" s="409"/>
      <c r="AG220" s="769"/>
      <c r="AH220" s="771"/>
      <c r="AI220" s="769"/>
      <c r="AJ220" s="43">
        <f>AJ218/3</f>
        <v>0.33333333333333331</v>
      </c>
      <c r="AK220" s="43">
        <f t="shared" si="39"/>
        <v>9.9999999999999992E-2</v>
      </c>
      <c r="AL220" s="43">
        <v>0</v>
      </c>
      <c r="AM220" s="44"/>
      <c r="AN220" s="44"/>
      <c r="AO220" s="44" t="str">
        <f>IF(Check!S624=$AQ$4,AJ220,IF(Check!S624=$AQ$6,AK220,IF(OR(Check!S624=$AQ$5,AO218=""),AL220,"NB")))</f>
        <v>NB</v>
      </c>
      <c r="AP220" s="981"/>
      <c r="AQ220" s="44"/>
      <c r="AR220" s="44"/>
      <c r="AS220" s="146"/>
      <c r="AT220" s="41"/>
      <c r="AU220" s="41"/>
      <c r="AV220" s="442"/>
      <c r="AW220" s="44"/>
      <c r="AX220" s="41"/>
      <c r="AY220" s="42"/>
      <c r="AZ220" s="41"/>
      <c r="BA220" s="42"/>
      <c r="BB220" s="577"/>
      <c r="BC220" s="582"/>
      <c r="BD220" s="398"/>
      <c r="BE220" s="579"/>
      <c r="BF220" s="577"/>
      <c r="BG220" s="582"/>
      <c r="BH220" s="398"/>
      <c r="BI220" s="579"/>
      <c r="BJ220" s="138"/>
    </row>
    <row r="221" spans="1:62" ht="15" customHeight="1">
      <c r="A221" s="138"/>
      <c r="B221" s="668">
        <v>322</v>
      </c>
      <c r="C221" s="871" t="str">
        <f>IF(Tool!$H$7="Français",G221,IF(Tool!$H$7="Italiano",I221,E221))</f>
        <v>Liegen bei einer Berechnung der Betriebsenergie gemäss SIA 380/1, 382/2 und 387/4 die aufgewendeten nicht erneuerbaren Energien, für den Betrieb des Gebäudes unterhalb der Grenzwerte eines Minergie-A oder -P Standards?</v>
      </c>
      <c r="D221" s="667">
        <f>$B221</f>
        <v>322</v>
      </c>
      <c r="E221" s="562" t="s">
        <v>1948</v>
      </c>
      <c r="F221" s="667">
        <f>$B221</f>
        <v>322</v>
      </c>
      <c r="G221" s="563" t="s">
        <v>1949</v>
      </c>
      <c r="H221" s="667">
        <f>$B221</f>
        <v>322</v>
      </c>
      <c r="I221" s="563" t="s">
        <v>1950</v>
      </c>
      <c r="J221" s="667">
        <f>$B221</f>
        <v>322</v>
      </c>
      <c r="K221" s="564"/>
      <c r="L221" s="565"/>
      <c r="M221" s="565"/>
      <c r="N221" s="565"/>
      <c r="O221" s="565"/>
      <c r="P221" s="566"/>
      <c r="Q221" s="667">
        <f>$B221</f>
        <v>322</v>
      </c>
      <c r="R221" s="564"/>
      <c r="S221" s="565"/>
      <c r="T221" s="565"/>
      <c r="U221" s="565"/>
      <c r="V221" s="565"/>
      <c r="W221" s="568"/>
      <c r="X221" s="667">
        <f>$B221</f>
        <v>322</v>
      </c>
      <c r="Y221" s="564"/>
      <c r="Z221" s="565"/>
      <c r="AA221" s="565"/>
      <c r="AB221" s="565"/>
      <c r="AC221" s="565"/>
      <c r="AD221" s="568"/>
      <c r="AE221" s="138" t="s">
        <v>28</v>
      </c>
      <c r="AF221" s="335"/>
      <c r="AG221" s="340"/>
      <c r="AH221" s="766"/>
      <c r="AI221" s="340"/>
      <c r="AJ221" s="43">
        <f>AJ218/3</f>
        <v>0.33333333333333331</v>
      </c>
      <c r="AK221" s="43">
        <f t="shared" si="39"/>
        <v>9.9999999999999992E-2</v>
      </c>
      <c r="AL221" s="43">
        <v>0</v>
      </c>
      <c r="AM221" s="44"/>
      <c r="AN221" s="44"/>
      <c r="AO221" s="44" t="str">
        <f>IF(Check!S627=$AQ$4,AJ221,IF(Check!S627=$AQ$6,AK221,IF(OR(Check!S627=$AQ$5,AO218=""),AL221,"NB")))</f>
        <v>NB</v>
      </c>
      <c r="AP221" s="44"/>
      <c r="AQ221" s="44"/>
      <c r="AR221" s="44"/>
      <c r="AS221" s="41"/>
      <c r="AT221" s="41"/>
      <c r="AU221" s="41"/>
      <c r="AV221" s="442"/>
      <c r="AW221" s="44"/>
      <c r="AX221" s="41"/>
      <c r="AY221" s="42"/>
      <c r="AZ221" s="41"/>
      <c r="BA221" s="42"/>
      <c r="BB221" s="577"/>
      <c r="BC221" s="582"/>
      <c r="BD221" s="398"/>
      <c r="BE221" s="579"/>
      <c r="BF221" s="577"/>
      <c r="BG221" s="582"/>
      <c r="BH221" s="398"/>
      <c r="BI221" s="579"/>
      <c r="BJ221" s="138"/>
    </row>
    <row r="222" spans="1:62" ht="15" customHeight="1">
      <c r="A222" s="138"/>
      <c r="B222" s="667"/>
      <c r="C222" s="871" t="str">
        <f>IF(Tool!$H$7="Français",G222,IF(Tool!$H$7="Italiano",I222,E222))</f>
        <v>Entspricht die Dämmung der Gebäudehülle den gesetzlichen Vorgaben für Neubauten?</v>
      </c>
      <c r="D222" s="667"/>
      <c r="E222" s="562" t="s">
        <v>154</v>
      </c>
      <c r="F222" s="667"/>
      <c r="G222" s="563" t="s">
        <v>361</v>
      </c>
      <c r="H222" s="667"/>
      <c r="I222" s="563" t="s">
        <v>960</v>
      </c>
      <c r="J222" s="667"/>
      <c r="K222" s="564"/>
      <c r="L222" s="565"/>
      <c r="M222" s="565"/>
      <c r="N222" s="565"/>
      <c r="O222" s="565"/>
      <c r="P222" s="566"/>
      <c r="Q222" s="667"/>
      <c r="R222" s="564"/>
      <c r="S222" s="565"/>
      <c r="T222" s="565"/>
      <c r="U222" s="565"/>
      <c r="V222" s="565"/>
      <c r="W222" s="568"/>
      <c r="X222" s="667"/>
      <c r="Y222" s="564"/>
      <c r="Z222" s="565"/>
      <c r="AA222" s="565"/>
      <c r="AB222" s="565"/>
      <c r="AC222" s="565"/>
      <c r="AD222" s="568"/>
      <c r="AE222" s="138"/>
      <c r="AF222" s="1058">
        <f>AQ44</f>
        <v>231</v>
      </c>
      <c r="AG222" s="1059" t="str">
        <f>AR44</f>
        <v>Regionale Wertschöpfung</v>
      </c>
      <c r="AH222" s="1060"/>
      <c r="AI222" s="1059"/>
      <c r="AJ222" s="1061">
        <v>1</v>
      </c>
      <c r="AK222" s="1061">
        <v>0.75</v>
      </c>
      <c r="AL222" s="1062">
        <v>0.6</v>
      </c>
      <c r="AM222" s="1063">
        <v>0.4</v>
      </c>
      <c r="AN222" s="1063">
        <v>0.3</v>
      </c>
      <c r="AO222" s="1063" t="str">
        <f>IF(Check!S637=$AV$4,AJ222,IF(Check!S637=$AV$5,AK222,IF(Check!S637=$AV$6,AL222,IF(Check!S637=$AV$7,AN222,IF(Check!S637=$AV$8,AM222,"NB")))))</f>
        <v>NB</v>
      </c>
      <c r="AP222" s="1063"/>
      <c r="AQ222" s="1063" t="str">
        <f>IF(AO222="NB","NB",AO222)</f>
        <v>NB</v>
      </c>
      <c r="AR222" s="1063"/>
      <c r="AS222" s="1064" t="str">
        <f>IF(AQ222="NB","NB",AQ222)</f>
        <v>NB</v>
      </c>
      <c r="AT222" s="1065" t="str">
        <f>IF(AS222="NB","NB",AS222)</f>
        <v>NB</v>
      </c>
      <c r="AU222" s="1066"/>
      <c r="AV222" s="1067"/>
      <c r="AW222" s="1487"/>
      <c r="AX222" s="1068"/>
      <c r="AY222" s="1069"/>
      <c r="AZ222" s="1068"/>
      <c r="BA222" s="1069"/>
      <c r="BB222" s="1070" t="str">
        <f>IF($AS$222="NB","",
IF($AS$222&gt;=0.85,AF222&amp;" "&amp;AG222&amp;"; ",""))</f>
        <v/>
      </c>
      <c r="BC222" s="1071" t="str">
        <f>IF($AS$222="NB","",
IF(AND($AS$222&gt;=0.65,$AS$222&lt;0.85),AF222&amp;" "&amp;AG222&amp;"; ",""))</f>
        <v/>
      </c>
      <c r="BD222" s="1072" t="str">
        <f>IF($AS$222="NB","",
IF(AND($AS$222&gt;=0.5,$AS$222&lt;0.65),AF222&amp;" "&amp;AG222&amp;"; ",""))</f>
        <v/>
      </c>
      <c r="BE222" s="1073" t="str">
        <f>IF($AS$222="NB","",
IF($AS$222&lt;0.5,AF222&amp;" "&amp;AG222&amp;"; ",""))</f>
        <v/>
      </c>
      <c r="BF222" s="1070" t="str">
        <f>IF($AS$222="NB","",
IF($AS$222&gt;=0.85,AF222&amp;" ",""))</f>
        <v/>
      </c>
      <c r="BG222" s="1071" t="str">
        <f>IF($AS$222="NB","",
IF(AND($AS$222&gt;=0.65,$AS$222&lt;0.85),AF222&amp;" ",""))</f>
        <v/>
      </c>
      <c r="BH222" s="1072" t="str">
        <f>IF($AS$222="NB","",
IF(AND($AS$222&gt;=0.5,$AS$222&lt;0.65),AF222&amp;" ",""))</f>
        <v/>
      </c>
      <c r="BI222" s="1073" t="str">
        <f>IF($AS$222="NB","",
IF($AS$222&lt;0.5,AF222&amp;" ",""))</f>
        <v/>
      </c>
      <c r="BJ222" s="138"/>
    </row>
    <row r="223" spans="1:62" ht="15" customHeight="1">
      <c r="A223" s="138"/>
      <c r="B223" s="667"/>
      <c r="C223" s="871" t="str">
        <f>IF(Tool!$H$7="Français",G223,IF(Tool!$H$7="Italiano",I223,E223))</f>
        <v>Weist das Gebäude eine hohe Kompaktheit auf, bzw. ist das Verhältnis zwischen der Gebäudehüllenfläche zur Geschossfläche besonders tief?</v>
      </c>
      <c r="D223" s="667"/>
      <c r="E223" s="562" t="str">
        <f>IF(OR(AG$26=AF$6,AG$26=AF$7),K223,"Weist das Gebäude eine hohe Kompaktheit auf, bzw. ist das Verhältnis zwischen der Gebäudehüllenfläche zur Geschossfläche besonders tief?")</f>
        <v>Weist das Gebäude eine hohe Kompaktheit auf, bzw. ist das Verhältnis zwischen der Gebäudehüllenfläche zur Geschossfläche besonders tief?</v>
      </c>
      <c r="F223" s="667"/>
      <c r="G223" s="563" t="str">
        <f>IF(OR(AG$26=AF$6,AG$26=AF$7),R223,"Le projet se distingue-t-il par une architecture compacte et un rapport de la surface de l'enveloppe sur celle de plancher relativement faible ?")</f>
        <v>Le projet se distingue-t-il par une architecture compacte et un rapport de la surface de l'enveloppe sur celle de plancher relativement faible ?</v>
      </c>
      <c r="H223" s="667"/>
      <c r="I223" s="563" t="str">
        <f>IF(OR(AG$26=AF$6,AG$26=AF$7),Y223,"L'edificio è molto compatto o il rapporto tra la superficie dell'involucro edilizio e la superficie dei piani è particolarmente basso?")</f>
        <v>L'edificio è molto compatto o il rapporto tra la superficie dell'involucro edilizio e la superficie dei piani è particolarmente basso?</v>
      </c>
      <c r="J223" s="667"/>
      <c r="K223" s="564" t="s">
        <v>948</v>
      </c>
      <c r="L223" s="565"/>
      <c r="M223" s="565"/>
      <c r="N223" s="565"/>
      <c r="O223" s="565"/>
      <c r="P223" s="566"/>
      <c r="Q223" s="667"/>
      <c r="R223" s="564" t="s">
        <v>950</v>
      </c>
      <c r="S223" s="565"/>
      <c r="T223" s="565"/>
      <c r="U223" s="565"/>
      <c r="V223" s="565"/>
      <c r="W223" s="568"/>
      <c r="X223" s="667"/>
      <c r="Y223" s="564" t="s">
        <v>949</v>
      </c>
      <c r="Z223" s="565"/>
      <c r="AA223" s="565"/>
      <c r="AB223" s="565"/>
      <c r="AC223" s="565"/>
      <c r="AD223" s="568"/>
      <c r="AE223" s="138"/>
      <c r="AF223" s="414"/>
      <c r="AG223" s="395"/>
      <c r="AH223" s="395"/>
      <c r="AI223" s="395"/>
      <c r="AJ223" s="396"/>
      <c r="AK223" s="396"/>
      <c r="AL223" s="396"/>
      <c r="AM223" s="322"/>
      <c r="AN223" s="322"/>
      <c r="AO223" s="322"/>
      <c r="AP223" s="322"/>
      <c r="AQ223" s="322"/>
      <c r="AR223" s="322"/>
      <c r="AS223" s="143"/>
      <c r="AT223" s="143"/>
      <c r="AU223" s="143"/>
      <c r="AV223" s="138"/>
      <c r="AW223" s="322"/>
      <c r="AX223" s="138"/>
      <c r="AY223" s="138"/>
      <c r="AZ223" s="138"/>
      <c r="BA223" s="138"/>
      <c r="BB223" s="354"/>
      <c r="BC223" s="354"/>
      <c r="BD223" s="354"/>
      <c r="BE223" s="354"/>
      <c r="BF223" s="354"/>
      <c r="BG223" s="354"/>
      <c r="BH223" s="354"/>
      <c r="BI223" s="354"/>
      <c r="BJ223" s="138"/>
    </row>
    <row r="224" spans="1:62" ht="15" customHeight="1">
      <c r="A224" s="138"/>
      <c r="B224" s="858"/>
      <c r="C224" s="871" t="str">
        <f>IF(Tool!$H$7="Français",G224,IF(Tool!$H$7="Italiano",I224,E224))</f>
        <v>Ist die Dämmung besser als die gesetzlichen Vorgaben (z. B. Minergie Standard)?</v>
      </c>
      <c r="D224" s="668"/>
      <c r="E224" s="562" t="s">
        <v>957</v>
      </c>
      <c r="F224" s="668"/>
      <c r="G224" s="563" t="s">
        <v>958</v>
      </c>
      <c r="H224" s="668"/>
      <c r="I224" s="563" t="s">
        <v>959</v>
      </c>
      <c r="J224" s="668"/>
      <c r="K224" s="564"/>
      <c r="L224" s="565"/>
      <c r="M224" s="565"/>
      <c r="N224" s="565"/>
      <c r="O224" s="565"/>
      <c r="P224" s="566"/>
      <c r="Q224" s="668"/>
      <c r="R224" s="564"/>
      <c r="S224" s="565"/>
      <c r="T224" s="565"/>
      <c r="U224" s="565"/>
      <c r="V224" s="565"/>
      <c r="W224" s="568"/>
      <c r="X224" s="668"/>
      <c r="Y224" s="564"/>
      <c r="Z224" s="565"/>
      <c r="AA224" s="565"/>
      <c r="AB224" s="565"/>
      <c r="AC224" s="565"/>
      <c r="AD224" s="568"/>
      <c r="AE224" s="138" t="s">
        <v>28</v>
      </c>
      <c r="AF224" s="1080">
        <f>AQ46</f>
        <v>311</v>
      </c>
      <c r="AG224" s="1081" t="str">
        <f>AR46</f>
        <v>Treibhausgasemissionen Erstellung</v>
      </c>
      <c r="AH224" s="1082"/>
      <c r="AI224" s="1083"/>
      <c r="AJ224" s="1090">
        <v>1</v>
      </c>
      <c r="AK224" s="1084" t="s">
        <v>46</v>
      </c>
      <c r="AL224" s="1085">
        <v>0</v>
      </c>
      <c r="AM224" s="1086"/>
      <c r="AN224" s="1086"/>
      <c r="AO224" s="1086" t="str">
        <f>IF(Check!S653=$AQ$4,AJ224,IF(OR(Check!S653=$AQ$6,Check!S653=$AS$5,Check!S653=$AS$6),AL224,"NB"))</f>
        <v>NB</v>
      </c>
      <c r="AP224" s="1087" t="str">
        <f>IF(OR(AG$40=AQ$4,AG$41=AQ$4),1,"NB")</f>
        <v>NB</v>
      </c>
      <c r="AQ224" s="1086" t="str">
        <f>IF(AP224=1,1,
IF(AO224=1,1,
IF(COUNTIF(AO226:AO232,"NB"),"NB",
IF(SUM(AO226:AO232)&gt;1,1,
IF(AND(SUM(AO226:AO232)&gt;=0,SUM(AO226:AO232)&lt;=1),SUM(AO226:AO232),"NB")))))</f>
        <v>NB</v>
      </c>
      <c r="AR224" s="1086"/>
      <c r="AS224" s="1088" t="str">
        <f>IF(AQ224="NB","NB",AQ224)</f>
        <v>NB</v>
      </c>
      <c r="AT224" s="1091" t="str">
        <f>IF(AND(AS224="NB",AS239="NB",AS249="NB"),"NB",SUM(AS224,AS239:AS252)/3)</f>
        <v>NB</v>
      </c>
      <c r="AU224" s="1088" t="str">
        <f>IF(AND(AS224="NB",AS225="NB",AS233="NB",AS239="NB",AS249="NB",AS253="NB",AS258="NB",AS263="NB",AS267="NB",AS275="NB",AS281="NB",AS286="NB",AS293="NB",AS303="NB"),"NB",SUM(AS224:AS306)/14)</f>
        <v>NB</v>
      </c>
      <c r="AV224" s="1045"/>
      <c r="AW224" s="1484" t="str">
        <f>AS224</f>
        <v>NB</v>
      </c>
      <c r="AX224" s="1048" t="str">
        <f>IF(AND(AW224="NB",AW239="NB",AW245="NB",AW249="NB"),"NB",SUM(AW224:AW245,AW249)/4)</f>
        <v>NB</v>
      </c>
      <c r="AY224" s="1047" t="str">
        <f>IF(AND(AW224="NB",AW239="NB",AW245="NB",AW246="NB",AW249="NB",AW258="NB",AW267="NB",AW271="NB",AW275="NB",AW281="NB",AW286="NB",AW293="NB",AW299="NB"),"NB",SUM(AW224:AW306)/13)</f>
        <v>NB</v>
      </c>
      <c r="AZ224" s="1091"/>
      <c r="BA224" s="1106" t="str">
        <f>AW224</f>
        <v>NB</v>
      </c>
      <c r="BB224" s="702" t="str">
        <f>IF($AS$224="NB","",
IF($AS$224&gt;=0.85,AF224&amp;" "&amp;AG224&amp;"; ",""))</f>
        <v/>
      </c>
      <c r="BC224" s="581" t="str">
        <f>IF($AS$224="NB","",
IF(AND($AS$224&gt;=0.65,$AS$224&lt;0.85),AF224&amp;" "&amp;AG224&amp;"; ",""))</f>
        <v/>
      </c>
      <c r="BD224" s="407" t="str">
        <f>IF($AS$224="NB","",
IF(AND($AS$224&gt;=0.5,$AS$224&lt;0.65),AF224&amp;" "&amp;AG224&amp;"; ",""))</f>
        <v/>
      </c>
      <c r="BE224" s="578" t="str">
        <f>IF($AS$224="NB","",
IF($AS$224&lt;0.5,AF224&amp;" "&amp;AG224&amp;"; ",""))</f>
        <v/>
      </c>
      <c r="BF224" s="702" t="str">
        <f>IF($AS$224="NB","",
IF($AS$224&gt;=0.85,AF224&amp;" ",""))</f>
        <v/>
      </c>
      <c r="BG224" s="581" t="str">
        <f>IF($AS$224="NB","",
IF(AND($AS$224&gt;=0.65,$AS$224&lt;0.85),AF224&amp;" ",""))</f>
        <v/>
      </c>
      <c r="BH224" s="407" t="str">
        <f>IF($AS$224="NB","",
IF(AND($AS$224&gt;=0.5,$AS$224&lt;0.65),AF224&amp;" ",""))</f>
        <v/>
      </c>
      <c r="BI224" s="578" t="str">
        <f>IF($AS$224="NB","",
IF($AS$224&lt;0.5,AF224&amp;" ",""))</f>
        <v/>
      </c>
      <c r="BJ224" s="138"/>
    </row>
    <row r="225" spans="1:62" ht="15" customHeight="1">
      <c r="A225" s="138"/>
      <c r="B225" s="667"/>
      <c r="C225" s="871" t="str">
        <f>IF(Tool!$H$7="Français",G225,IF(Tool!$H$7="Italiano",I225,E225))</f>
        <v>Verfügt das Gebäude über eine Wärme- und (Kälte)erzeugung, welche auf erneuerbare Energieträgern basiert?</v>
      </c>
      <c r="D225" s="667"/>
      <c r="E225" s="562" t="s">
        <v>1951</v>
      </c>
      <c r="F225" s="667"/>
      <c r="G225" s="563" t="s">
        <v>1952</v>
      </c>
      <c r="H225" s="667"/>
      <c r="I225" s="563" t="s">
        <v>1953</v>
      </c>
      <c r="J225" s="667"/>
      <c r="K225" s="564"/>
      <c r="L225" s="565"/>
      <c r="M225" s="565"/>
      <c r="N225" s="565"/>
      <c r="O225" s="565"/>
      <c r="P225" s="566"/>
      <c r="Q225" s="667"/>
      <c r="R225" s="564"/>
      <c r="S225" s="565"/>
      <c r="T225" s="565"/>
      <c r="U225" s="565"/>
      <c r="V225" s="565"/>
      <c r="W225" s="568"/>
      <c r="X225" s="667"/>
      <c r="Y225" s="564"/>
      <c r="Z225" s="565"/>
      <c r="AA225" s="565"/>
      <c r="AB225" s="565"/>
      <c r="AC225" s="565"/>
      <c r="AD225" s="568"/>
      <c r="AE225" s="138" t="s">
        <v>28</v>
      </c>
      <c r="AF225" s="815">
        <f>AQ49</f>
        <v>321</v>
      </c>
      <c r="AG225" s="1089" t="str">
        <f>AR49</f>
        <v>Energiebedarf Erstellung</v>
      </c>
      <c r="AH225" s="766"/>
      <c r="AI225" s="340"/>
      <c r="AJ225" s="1092">
        <v>1</v>
      </c>
      <c r="AK225" s="1074" t="s">
        <v>46</v>
      </c>
      <c r="AL225" s="1075">
        <v>0</v>
      </c>
      <c r="AM225" s="1076"/>
      <c r="AN225" s="1076"/>
      <c r="AO225" s="1076" t="str">
        <f>IF(Check!S653=$AQ$4,AJ225,IF(OR(Check!S653=$AQ$6,Check!S653=$AS$5,Check!S653=$AS$6),AL225,"NB"))</f>
        <v>NB</v>
      </c>
      <c r="AP225" s="1077" t="str">
        <f>IF(OR(AG$40=AQ$4,AG$41=AQ$4),1,"NB")</f>
        <v>NB</v>
      </c>
      <c r="AQ225" s="1076" t="str">
        <f>IF(AP225=1,1,
IF(AO225=1,1,
IF(COUNTIF(AO226:AO232,"NB"),"NB",
IF(SUM(AO226:AO232)&gt;1,1,
IF(AND(SUM(AO226:AO232)&gt;=0,SUM(AO226:AO232)&lt;=1),SUM(AO226:AO232),"NB")))))</f>
        <v>NB</v>
      </c>
      <c r="AR225" s="1076"/>
      <c r="AS225" s="1078" t="str">
        <f>IF(AQ225="NB","NB",AQ225)</f>
        <v>NB</v>
      </c>
      <c r="AT225" s="1079" t="str">
        <f>IF(AND(AS225="NB",AS233="NB"),"NB",SUM(AS225:AS233)/2)</f>
        <v>NB</v>
      </c>
      <c r="AU225" s="1094"/>
      <c r="AV225" s="442"/>
      <c r="AW225" s="44"/>
      <c r="AX225" s="1048" t="str">
        <f>IF(AW246="NB","NB",AW246)</f>
        <v>NB</v>
      </c>
      <c r="AY225" s="42"/>
      <c r="AZ225" s="1048"/>
      <c r="BA225" s="42"/>
      <c r="BB225" s="577" t="str">
        <f>IF($AS$225="NB","",
IF($AS$225&gt;=0.85,AF225&amp;" "&amp;AG225&amp;"; ",""))</f>
        <v/>
      </c>
      <c r="BC225" s="582" t="str">
        <f>IF($AS$225="NB","",
IF(AND($AS$225&gt;=0.65,$AS$225&lt;0.85),AF225&amp;" "&amp;AG225&amp;"; ",""))</f>
        <v/>
      </c>
      <c r="BD225" s="398" t="str">
        <f>IF($AS$225="NB","",
IF(AND($AS$225&gt;=0.5,$AS$225&lt;0.65),AF225&amp;" "&amp;AG225&amp;"; ",""))</f>
        <v/>
      </c>
      <c r="BE225" s="579" t="str">
        <f>IF($AS$225="NB","",
IF($AS$225&lt;0.5,AF225&amp;" "&amp;AG225&amp;"; ",""))</f>
        <v/>
      </c>
      <c r="BF225" s="577" t="str">
        <f>IF($AS$225="NB","",
IF($AS$225&gt;=0.85,AF225&amp;" ",""))</f>
        <v/>
      </c>
      <c r="BG225" s="582" t="str">
        <f>IF($AS$225="NB","",
IF(AND($AS$225&gt;=0.65,$AS$225&lt;0.85),AF225&amp;" ",""))</f>
        <v/>
      </c>
      <c r="BH225" s="398" t="str">
        <f>IF($AS$225="NB","",
IF(AND($AS$225&gt;=0.5,$AS$225&lt;0.65),AF225&amp;" ",""))</f>
        <v/>
      </c>
      <c r="BI225" s="579" t="str">
        <f>IF($AS$225="NB","",
IF($AS$225&lt;0.5,AF225&amp;" ",""))</f>
        <v/>
      </c>
      <c r="BJ225" s="138"/>
    </row>
    <row r="226" spans="1:62" ht="15" customHeight="1">
      <c r="A226" s="138"/>
      <c r="B226" s="667"/>
      <c r="C226" s="871" t="str">
        <f>IF(Tool!$H$7="Français",G226,IF(Tool!$H$7="Italiano",I226,E226))</f>
        <v>Ist für das Gebäude grösstenteils der Einsatz von energieeffizienten resp. stromsparenden Geräten und Beleuchtungen vorgesehen?</v>
      </c>
      <c r="D226" s="667"/>
      <c r="E226" s="562" t="s">
        <v>155</v>
      </c>
      <c r="F226" s="667"/>
      <c r="G226" s="563" t="s">
        <v>379</v>
      </c>
      <c r="H226" s="667"/>
      <c r="I226" s="563" t="s">
        <v>961</v>
      </c>
      <c r="J226" s="667"/>
      <c r="K226" s="564" t="s">
        <v>755</v>
      </c>
      <c r="L226" s="565"/>
      <c r="M226" s="565"/>
      <c r="N226" s="565"/>
      <c r="O226" s="565"/>
      <c r="P226" s="566"/>
      <c r="Q226" s="667"/>
      <c r="R226" s="564" t="s">
        <v>374</v>
      </c>
      <c r="S226" s="565"/>
      <c r="T226" s="565"/>
      <c r="U226" s="565"/>
      <c r="V226" s="565"/>
      <c r="W226" s="568"/>
      <c r="X226" s="667"/>
      <c r="Y226" s="564" t="s">
        <v>1822</v>
      </c>
      <c r="Z226" s="565"/>
      <c r="AA226" s="565"/>
      <c r="AB226" s="565"/>
      <c r="AC226" s="565"/>
      <c r="AD226" s="568"/>
      <c r="AE226" s="138" t="s">
        <v>28</v>
      </c>
      <c r="AF226" s="335"/>
      <c r="AG226" s="340"/>
      <c r="AH226" s="766"/>
      <c r="AI226" s="340"/>
      <c r="AJ226" s="43">
        <f t="shared" ref="AJ226:AJ232" si="40">0.9/7</f>
        <v>0.12857142857142859</v>
      </c>
      <c r="AK226" s="43">
        <f>AJ226*0.3</f>
        <v>3.8571428571428576E-2</v>
      </c>
      <c r="AL226" s="43">
        <v>0</v>
      </c>
      <c r="AM226" s="44"/>
      <c r="AN226" s="44"/>
      <c r="AO226" s="1224" t="str">
        <f>IF(Check!S656=$AQ$4,AJ226,IF(Check!S656=$AQ$6,AK226,IF(OR(Check!S656=$AQ$5,AO224=""),AL226,"NB")))</f>
        <v>NB</v>
      </c>
      <c r="AP226" s="44"/>
      <c r="AQ226" s="44"/>
      <c r="AR226" s="44"/>
      <c r="AS226" s="41"/>
      <c r="AT226" s="41"/>
      <c r="AU226" s="41"/>
      <c r="AV226" s="442"/>
      <c r="AW226" s="44"/>
      <c r="AX226" s="41" t="s">
        <v>1634</v>
      </c>
      <c r="AY226" s="42"/>
      <c r="AZ226" s="41"/>
      <c r="BA226" s="42"/>
      <c r="BB226" s="577"/>
      <c r="BC226" s="582"/>
      <c r="BD226" s="398"/>
      <c r="BE226" s="579"/>
      <c r="BF226" s="577"/>
      <c r="BG226" s="582"/>
      <c r="BH226" s="398"/>
      <c r="BI226" s="579"/>
      <c r="BJ226" s="138"/>
    </row>
    <row r="227" spans="1:62" ht="15" customHeight="1">
      <c r="A227" s="138"/>
      <c r="B227" s="667">
        <v>312</v>
      </c>
      <c r="C227" s="871" t="str">
        <f>IF(Tool!$H$7="Français",G227,IF(Tool!$H$7="Italiano",I227,E227))</f>
        <v xml:space="preserve">Liegen die emittierten Treibhausgase für den Betrieb des Bauvorhabens unterhalb von 2.5kg/m2 EBF?	</v>
      </c>
      <c r="D227" s="667">
        <f>$B227</f>
        <v>312</v>
      </c>
      <c r="E227" s="562" t="s">
        <v>1954</v>
      </c>
      <c r="F227" s="667">
        <f>$B227</f>
        <v>312</v>
      </c>
      <c r="G227" s="563" t="s">
        <v>1955</v>
      </c>
      <c r="H227" s="667">
        <f>$B227</f>
        <v>312</v>
      </c>
      <c r="I227" s="563" t="s">
        <v>1956</v>
      </c>
      <c r="J227" s="667">
        <f>$B227</f>
        <v>312</v>
      </c>
      <c r="K227" s="564"/>
      <c r="L227" s="565"/>
      <c r="M227" s="565"/>
      <c r="N227" s="565"/>
      <c r="O227" s="565"/>
      <c r="P227" s="566"/>
      <c r="Q227" s="667">
        <f>$B227</f>
        <v>312</v>
      </c>
      <c r="R227" s="564"/>
      <c r="S227" s="565"/>
      <c r="T227" s="565"/>
      <c r="U227" s="565"/>
      <c r="V227" s="565"/>
      <c r="W227" s="568"/>
      <c r="X227" s="667">
        <f>$B227</f>
        <v>312</v>
      </c>
      <c r="Y227" s="564"/>
      <c r="Z227" s="565"/>
      <c r="AA227" s="565"/>
      <c r="AB227" s="565"/>
      <c r="AC227" s="565"/>
      <c r="AD227" s="568"/>
      <c r="AE227" s="138" t="s">
        <v>28</v>
      </c>
      <c r="AF227" s="335"/>
      <c r="AG227" s="340"/>
      <c r="AH227" s="766"/>
      <c r="AI227" s="340"/>
      <c r="AJ227" s="43">
        <f t="shared" si="40"/>
        <v>0.12857142857142859</v>
      </c>
      <c r="AK227" s="43">
        <f t="shared" ref="AK227:AK232" si="41">AJ227*0.3</f>
        <v>3.8571428571428576E-2</v>
      </c>
      <c r="AL227" s="43">
        <v>0</v>
      </c>
      <c r="AM227" s="44"/>
      <c r="AN227" s="44"/>
      <c r="AO227" s="1224" t="str">
        <f>IF(Check!S659=$AQ$4,AJ227,IF(Check!S659=$AQ$6,AK227,IF(OR(Check!S659=$AQ$5,AO224=""),AL227,"NB")))</f>
        <v>NB</v>
      </c>
      <c r="AP227" s="44"/>
      <c r="AQ227" s="44"/>
      <c r="AR227" s="44"/>
      <c r="AS227" s="41"/>
      <c r="AT227" s="41"/>
      <c r="AU227" s="41"/>
      <c r="AV227" s="442"/>
      <c r="AW227" s="44"/>
      <c r="AX227" s="41" t="s">
        <v>1635</v>
      </c>
      <c r="AY227" s="42" t="str">
        <f>BA245</f>
        <v>NB</v>
      </c>
      <c r="AZ227" s="41"/>
      <c r="BA227" s="42"/>
      <c r="BB227" s="577"/>
      <c r="BC227" s="582"/>
      <c r="BD227" s="398"/>
      <c r="BE227" s="579"/>
      <c r="BF227" s="577"/>
      <c r="BG227" s="582"/>
      <c r="BH227" s="398"/>
      <c r="BI227" s="579"/>
      <c r="BJ227" s="138"/>
    </row>
    <row r="228" spans="1:62" ht="15" customHeight="1">
      <c r="A228" s="138"/>
      <c r="B228" s="667"/>
      <c r="C228" s="871" t="str">
        <f>IF(Tool!$H$7="Français",G228,IF(Tool!$H$7="Italiano",I228,E228))</f>
        <v>Weist das Gebäude eine hohe Kompaktheit auf, bzw. ist das Verhältnis zwischen der Gebäudehüllenfläche zur Geschossfläche besonders tief?</v>
      </c>
      <c r="D228" s="667"/>
      <c r="E228" s="562" t="str">
        <f>IF(OR(AG$26=AF$6,AG$26=AF$7),K228,"Weist das Gebäude eine hohe Kompaktheit auf, bzw. ist das Verhältnis zwischen der Gebäudehüllenfläche zur Geschossfläche besonders tief?")</f>
        <v>Weist das Gebäude eine hohe Kompaktheit auf, bzw. ist das Verhältnis zwischen der Gebäudehüllenfläche zur Geschossfläche besonders tief?</v>
      </c>
      <c r="F228" s="667"/>
      <c r="G228" s="563" t="str">
        <f>IF(OR(AG$26=AF$6,AG$26=AF$7),R228,"Le projet se distingue-t-il par une architecture compacte et un rapport de la surface de l'enveloppe sur celle de plancher relativement faible ?")</f>
        <v>Le projet se distingue-t-il par une architecture compacte et un rapport de la surface de l'enveloppe sur celle de plancher relativement faible ?</v>
      </c>
      <c r="H228" s="667"/>
      <c r="I228" s="563" t="str">
        <f>IF(OR(AG$26=AF$6,AG$26=AF$7),Y228,"L'edificio è molto compatto o il rapporto tra la superficie dell'involucro edilizio e la superficie dei piani è particolarmente basso?")</f>
        <v>L'edificio è molto compatto o il rapporto tra la superficie dell'involucro edilizio e la superficie dei piani è particolarmente basso?</v>
      </c>
      <c r="J228" s="667"/>
      <c r="K228" s="564" t="s">
        <v>948</v>
      </c>
      <c r="L228" s="565"/>
      <c r="M228" s="565"/>
      <c r="N228" s="565"/>
      <c r="O228" s="565"/>
      <c r="P228" s="566"/>
      <c r="Q228" s="667"/>
      <c r="R228" s="564" t="s">
        <v>950</v>
      </c>
      <c r="S228" s="565"/>
      <c r="T228" s="565"/>
      <c r="U228" s="565"/>
      <c r="V228" s="565"/>
      <c r="W228" s="568"/>
      <c r="X228" s="667"/>
      <c r="Y228" s="564" t="s">
        <v>949</v>
      </c>
      <c r="Z228" s="565"/>
      <c r="AA228" s="565"/>
      <c r="AB228" s="565"/>
      <c r="AC228" s="565"/>
      <c r="AD228" s="568"/>
      <c r="AE228" s="138" t="s">
        <v>28</v>
      </c>
      <c r="AF228" s="335"/>
      <c r="AG228" s="340"/>
      <c r="AH228" s="766"/>
      <c r="AI228" s="340"/>
      <c r="AJ228" s="43">
        <f t="shared" si="40"/>
        <v>0.12857142857142859</v>
      </c>
      <c r="AK228" s="43">
        <f t="shared" si="41"/>
        <v>3.8571428571428576E-2</v>
      </c>
      <c r="AL228" s="43">
        <v>0</v>
      </c>
      <c r="AM228" s="44"/>
      <c r="AN228" s="44"/>
      <c r="AO228" s="1224" t="str">
        <f>IF(Check!S662=$AQ$4,AJ228,IF(Check!S662=$AQ$6,AK228,IF(OR(Check!S662=$AQ$5,AO224=""),AL228,"NB")))</f>
        <v>NB</v>
      </c>
      <c r="AP228" s="44"/>
      <c r="AQ228" s="44"/>
      <c r="AR228" s="44"/>
      <c r="AS228" s="41"/>
      <c r="AT228" s="41"/>
      <c r="AU228" s="41"/>
      <c r="AV228" s="442"/>
      <c r="AW228" s="44"/>
      <c r="AX228" s="41" t="s">
        <v>1634</v>
      </c>
      <c r="AY228" s="42" t="str">
        <f>AZ246</f>
        <v>NB</v>
      </c>
      <c r="AZ228" s="41"/>
      <c r="BA228" s="42"/>
      <c r="BB228" s="577"/>
      <c r="BC228" s="582"/>
      <c r="BD228" s="398"/>
      <c r="BE228" s="579"/>
      <c r="BF228" s="577"/>
      <c r="BG228" s="582"/>
      <c r="BH228" s="398"/>
      <c r="BI228" s="579"/>
      <c r="BJ228" s="138"/>
    </row>
    <row r="229" spans="1:62" ht="15" customHeight="1">
      <c r="A229" s="138"/>
      <c r="B229" s="667"/>
      <c r="C229" s="871" t="str">
        <f>IF(Tool!$H$7="Français",G229,IF(Tool!$H$7="Italiano",I229,E229))</f>
        <v>Ist die Dämmung besser als die gesetzlichen Vorgaben (z. B. Minergie Standard)?</v>
      </c>
      <c r="D229" s="667"/>
      <c r="E229" s="562" t="s">
        <v>957</v>
      </c>
      <c r="F229" s="667"/>
      <c r="G229" s="563" t="s">
        <v>958</v>
      </c>
      <c r="H229" s="667"/>
      <c r="I229" s="563" t="s">
        <v>959</v>
      </c>
      <c r="J229" s="667"/>
      <c r="K229" s="564"/>
      <c r="L229" s="565"/>
      <c r="M229" s="565"/>
      <c r="N229" s="565"/>
      <c r="O229" s="565"/>
      <c r="P229" s="566"/>
      <c r="Q229" s="667"/>
      <c r="R229" s="564"/>
      <c r="S229" s="565"/>
      <c r="T229" s="565"/>
      <c r="U229" s="565"/>
      <c r="V229" s="565"/>
      <c r="W229" s="568"/>
      <c r="X229" s="667"/>
      <c r="Y229" s="564"/>
      <c r="Z229" s="565"/>
      <c r="AA229" s="565"/>
      <c r="AB229" s="565"/>
      <c r="AC229" s="565"/>
      <c r="AD229" s="568"/>
      <c r="AE229" s="138" t="s">
        <v>28</v>
      </c>
      <c r="AF229" s="335"/>
      <c r="AG229" s="340"/>
      <c r="AH229" s="766"/>
      <c r="AI229" s="340"/>
      <c r="AJ229" s="43">
        <f t="shared" si="40"/>
        <v>0.12857142857142859</v>
      </c>
      <c r="AK229" s="43">
        <f t="shared" si="41"/>
        <v>3.8571428571428576E-2</v>
      </c>
      <c r="AL229" s="43">
        <v>0</v>
      </c>
      <c r="AM229" s="44"/>
      <c r="AN229" s="44"/>
      <c r="AO229" s="1224" t="str">
        <f>IF(Check!S665=$AQ$4,AJ229,IF(Check!S665=$AQ$6,AK229,IF(OR(Check!S665=$AQ$5,AO224=""),AL229,"NB")))</f>
        <v>NB</v>
      </c>
      <c r="AP229" s="44"/>
      <c r="AQ229" s="44"/>
      <c r="AR229" s="44"/>
      <c r="AS229" s="41"/>
      <c r="AT229" s="41"/>
      <c r="AU229" s="41"/>
      <c r="AV229" s="442"/>
      <c r="AW229" s="44"/>
      <c r="AX229" s="41" t="s">
        <v>1635</v>
      </c>
      <c r="AY229" s="42"/>
      <c r="AZ229" s="41"/>
      <c r="BA229" s="42"/>
      <c r="BB229" s="577"/>
      <c r="BC229" s="582"/>
      <c r="BD229" s="398"/>
      <c r="BE229" s="579"/>
      <c r="BF229" s="577"/>
      <c r="BG229" s="582"/>
      <c r="BH229" s="398"/>
      <c r="BI229" s="579"/>
      <c r="BJ229" s="138"/>
    </row>
    <row r="230" spans="1:62" ht="15" customHeight="1">
      <c r="A230" s="138"/>
      <c r="B230" s="667"/>
      <c r="C230" s="871" t="str">
        <f>IF(Tool!$H$7="Français",G230,IF(Tool!$H$7="Italiano",I230,E230))</f>
        <v xml:space="preserve">Ist die belegbare Dachfläche vollständig mit PV-Modulen belegt? </v>
      </c>
      <c r="D230" s="667"/>
      <c r="E230" s="562" t="s">
        <v>962</v>
      </c>
      <c r="F230" s="667"/>
      <c r="G230" s="563" t="s">
        <v>967</v>
      </c>
      <c r="H230" s="667"/>
      <c r="I230" s="563" t="s">
        <v>966</v>
      </c>
      <c r="J230" s="667"/>
      <c r="K230" s="564"/>
      <c r="L230" s="565"/>
      <c r="M230" s="565"/>
      <c r="N230" s="565"/>
      <c r="O230" s="565"/>
      <c r="P230" s="566"/>
      <c r="Q230" s="667"/>
      <c r="R230" s="564"/>
      <c r="S230" s="565"/>
      <c r="T230" s="565"/>
      <c r="U230" s="565"/>
      <c r="V230" s="565"/>
      <c r="W230" s="568"/>
      <c r="X230" s="667"/>
      <c r="Y230" s="564"/>
      <c r="Z230" s="565"/>
      <c r="AA230" s="565"/>
      <c r="AB230" s="565"/>
      <c r="AC230" s="565"/>
      <c r="AD230" s="568"/>
      <c r="AE230" s="138" t="s">
        <v>28</v>
      </c>
      <c r="AF230" s="409"/>
      <c r="AG230" s="769"/>
      <c r="AH230" s="771"/>
      <c r="AI230" s="769"/>
      <c r="AJ230" s="43">
        <f t="shared" si="40"/>
        <v>0.12857142857142859</v>
      </c>
      <c r="AK230" s="43">
        <f t="shared" si="41"/>
        <v>3.8571428571428576E-2</v>
      </c>
      <c r="AL230" s="43">
        <v>0</v>
      </c>
      <c r="AM230" s="44"/>
      <c r="AN230" s="44"/>
      <c r="AO230" s="1224" t="str">
        <f>IF(Check!S668=$AQ$4,AJ230,IF(Check!S668=$AQ$6,AK230,IF(OR(Check!S668=$AQ$5,AO224=""),AL230,"NB")))</f>
        <v>NB</v>
      </c>
      <c r="AP230" s="44"/>
      <c r="AQ230" s="44"/>
      <c r="AR230" s="44"/>
      <c r="AS230" s="41"/>
      <c r="AT230" s="41"/>
      <c r="AU230" s="41"/>
      <c r="AV230" s="442"/>
      <c r="AW230" s="44"/>
      <c r="AX230" s="41" t="s">
        <v>1647</v>
      </c>
      <c r="AY230" s="42" t="str">
        <f>IF(AND(BA224="NB",BA239="NB",BA249="NB"),"NB",SUM(BA224,BA239,BA249)/3)</f>
        <v>NB</v>
      </c>
      <c r="AZ230" s="41"/>
      <c r="BA230" s="42"/>
      <c r="BB230" s="577"/>
      <c r="BC230" s="582"/>
      <c r="BD230" s="398"/>
      <c r="BE230" s="579"/>
      <c r="BF230" s="577"/>
      <c r="BG230" s="582"/>
      <c r="BH230" s="398"/>
      <c r="BI230" s="579"/>
      <c r="BJ230" s="138"/>
    </row>
    <row r="231" spans="1:62" ht="15" customHeight="1">
      <c r="A231" s="138"/>
      <c r="B231" s="858"/>
      <c r="C231" s="871" t="str">
        <f>IF(Tool!$H$7="Français",G231,IF(Tool!$H$7="Italiano",I231,E231))</f>
        <v>Stammt der zum Gebäude gelieferte Strom nachweislich aus erneuerbaren Quellen?</v>
      </c>
      <c r="D231" s="668"/>
      <c r="E231" s="562" t="s">
        <v>963</v>
      </c>
      <c r="F231" s="668"/>
      <c r="G231" s="563" t="s">
        <v>968</v>
      </c>
      <c r="H231" s="668"/>
      <c r="I231" s="563" t="s">
        <v>964</v>
      </c>
      <c r="J231" s="668"/>
      <c r="K231" s="564"/>
      <c r="L231" s="565"/>
      <c r="M231" s="565"/>
      <c r="N231" s="565"/>
      <c r="O231" s="565"/>
      <c r="P231" s="566"/>
      <c r="Q231" s="668"/>
      <c r="R231" s="564"/>
      <c r="S231" s="565"/>
      <c r="T231" s="565"/>
      <c r="U231" s="565"/>
      <c r="V231" s="565"/>
      <c r="W231" s="568"/>
      <c r="X231" s="668"/>
      <c r="Y231" s="564"/>
      <c r="Z231" s="565"/>
      <c r="AA231" s="565"/>
      <c r="AB231" s="565"/>
      <c r="AC231" s="565"/>
      <c r="AD231" s="568"/>
      <c r="AE231" s="138" t="s">
        <v>28</v>
      </c>
      <c r="AF231" s="335"/>
      <c r="AG231" s="340"/>
      <c r="AH231" s="766"/>
      <c r="AI231" s="340"/>
      <c r="AJ231" s="43">
        <f t="shared" si="40"/>
        <v>0.12857142857142859</v>
      </c>
      <c r="AK231" s="43">
        <f t="shared" si="41"/>
        <v>3.8571428571428576E-2</v>
      </c>
      <c r="AL231" s="43">
        <v>0</v>
      </c>
      <c r="AM231" s="44"/>
      <c r="AN231" s="44"/>
      <c r="AO231" s="1224" t="str">
        <f>IF(Check!S671=$AQ$4,AJ231,IF(Check!S671=$AQ$6,AK231,IF(OR(Check!S671=$AQ$5,AO224=""),AL231,"NB")))</f>
        <v>NB</v>
      </c>
      <c r="AP231" s="981"/>
      <c r="AQ231" s="44"/>
      <c r="AR231" s="44"/>
      <c r="AS231" s="146"/>
      <c r="AT231" s="41"/>
      <c r="AU231" s="41"/>
      <c r="AV231" s="442"/>
      <c r="AW231" s="44"/>
      <c r="AX231" s="146" t="s">
        <v>1648</v>
      </c>
      <c r="AY231" s="42" t="str">
        <f>IF(AND(BA224="NB",BA239="NB",BA249="NB",BA258="NB",BA267="NB",BA275="NB",BA281="NB",AZ286="NB",AZ293="NB"),"NB",SUM(BA224,BA239,BA249,BA258,BA267,BA275,BA281,AZ286,AZ293)/9)</f>
        <v>NB</v>
      </c>
      <c r="AZ231" s="41"/>
      <c r="BA231" s="42"/>
      <c r="BB231" s="577"/>
      <c r="BC231" s="582"/>
      <c r="BD231" s="398"/>
      <c r="BE231" s="579"/>
      <c r="BF231" s="577"/>
      <c r="BG231" s="582"/>
      <c r="BH231" s="398"/>
      <c r="BI231" s="579"/>
      <c r="BJ231" s="138"/>
    </row>
    <row r="232" spans="1:62" ht="15" customHeight="1">
      <c r="A232" s="138"/>
      <c r="B232" s="859"/>
      <c r="C232" s="871" t="str">
        <f>IF(Tool!$H$7="Français",G232,IF(Tool!$H$7="Italiano",I232,E232))</f>
        <v>Werden zur Deckung des Wärmebedarfs fossile Energieträger vermieden, auch zur Deckung von Spitzenlasten oder als Anteil der Fernwärmeerzeugung?</v>
      </c>
      <c r="D232" s="667"/>
      <c r="E232" s="562" t="s">
        <v>495</v>
      </c>
      <c r="F232" s="667"/>
      <c r="G232" s="563" t="s">
        <v>1851</v>
      </c>
      <c r="H232" s="667"/>
      <c r="I232" s="563" t="s">
        <v>965</v>
      </c>
      <c r="J232" s="667"/>
      <c r="K232" s="564"/>
      <c r="L232" s="565"/>
      <c r="M232" s="565"/>
      <c r="N232" s="565"/>
      <c r="O232" s="565"/>
      <c r="P232" s="566"/>
      <c r="Q232" s="667"/>
      <c r="R232" s="564"/>
      <c r="S232" s="565"/>
      <c r="T232" s="565"/>
      <c r="U232" s="565"/>
      <c r="V232" s="565"/>
      <c r="W232" s="568"/>
      <c r="X232" s="667"/>
      <c r="Y232" s="564"/>
      <c r="Z232" s="565"/>
      <c r="AA232" s="565"/>
      <c r="AB232" s="565"/>
      <c r="AC232" s="565"/>
      <c r="AD232" s="568"/>
      <c r="AE232" s="138" t="s">
        <v>28</v>
      </c>
      <c r="AF232" s="335"/>
      <c r="AG232" s="340"/>
      <c r="AH232" s="766"/>
      <c r="AI232" s="340"/>
      <c r="AJ232" s="43">
        <f t="shared" si="40"/>
        <v>0.12857142857142859</v>
      </c>
      <c r="AK232" s="43">
        <f t="shared" si="41"/>
        <v>3.8571428571428576E-2</v>
      </c>
      <c r="AL232" s="43">
        <v>0</v>
      </c>
      <c r="AM232" s="44"/>
      <c r="AN232" s="44"/>
      <c r="AO232" s="1224" t="str">
        <f>IF(Check!S674=$AQ$4,AJ232,IF(Check!S674=$AQ$6,AK232,IF(OR(Check!S674=$AQ$5,AO224=""),AL232,"NB")))</f>
        <v>NB</v>
      </c>
      <c r="AP232" s="981"/>
      <c r="AQ232" s="44"/>
      <c r="AR232" s="44"/>
      <c r="AS232" s="146"/>
      <c r="AT232" s="41"/>
      <c r="AU232" s="41"/>
      <c r="AV232" s="442"/>
      <c r="AW232" s="44"/>
      <c r="AX232" s="41"/>
      <c r="AY232" s="42"/>
      <c r="AZ232" s="41"/>
      <c r="BA232" s="42"/>
      <c r="BB232" s="577"/>
      <c r="BC232" s="582"/>
      <c r="BD232" s="398"/>
      <c r="BE232" s="579"/>
      <c r="BF232" s="577"/>
      <c r="BG232" s="582"/>
      <c r="BH232" s="398"/>
      <c r="BI232" s="579"/>
      <c r="BJ232" s="138"/>
    </row>
    <row r="233" spans="1:62" ht="15" customHeight="1">
      <c r="A233" s="138"/>
      <c r="B233" s="642" t="str">
        <f>IF(OR(Tool!H$7="Deutsch",Tool!H$7=""),"K312/322","C312/322")</f>
        <v>K312/322</v>
      </c>
      <c r="C233" s="872" t="str">
        <f>IF(Tool!$H$7="Français",G233,IF(Tool!$H$7="Italiano",I233,E233))</f>
        <v>Liegen bei einer Berechnung der Betriebsenergie mit verfügbaren SIA-Klimadaten der Zukunft die nicht erneuerbare Energie bzw. die Treibhausgas für den Betrieb des Bauvorhabens über dessen gesamte Lebensdauer unterhalb des Richtwerts ''Betrieb'' nach MB SIA 2040?</v>
      </c>
      <c r="D233" s="642" t="str">
        <f>$B233</f>
        <v>K312/322</v>
      </c>
      <c r="E233" s="641" t="s">
        <v>970</v>
      </c>
      <c r="F233" s="642" t="str">
        <f>$B233</f>
        <v>K312/322</v>
      </c>
      <c r="G233" s="669" t="s">
        <v>1852</v>
      </c>
      <c r="H233" s="642" t="str">
        <f>$B233</f>
        <v>K312/322</v>
      </c>
      <c r="I233" s="669" t="s">
        <v>1828</v>
      </c>
      <c r="J233" s="642" t="str">
        <f>$B233</f>
        <v>K312/322</v>
      </c>
      <c r="K233" s="644"/>
      <c r="L233" s="645"/>
      <c r="M233" s="645"/>
      <c r="N233" s="645"/>
      <c r="O233" s="645"/>
      <c r="P233" s="646"/>
      <c r="Q233" s="642" t="str">
        <f>$B233</f>
        <v>K312/322</v>
      </c>
      <c r="R233" s="644"/>
      <c r="S233" s="645"/>
      <c r="T233" s="645"/>
      <c r="U233" s="645"/>
      <c r="V233" s="645"/>
      <c r="W233" s="670"/>
      <c r="X233" s="642" t="str">
        <f>$B233</f>
        <v>K312/322</v>
      </c>
      <c r="Y233" s="644"/>
      <c r="Z233" s="645"/>
      <c r="AA233" s="645"/>
      <c r="AB233" s="645"/>
      <c r="AC233" s="645"/>
      <c r="AD233" s="670"/>
      <c r="AE233" s="138" t="s">
        <v>28</v>
      </c>
      <c r="AF233" s="1096">
        <f>AQ50</f>
        <v>322</v>
      </c>
      <c r="AG233" s="1097" t="str">
        <f>AR50</f>
        <v>Energiebedarf Betrieb</v>
      </c>
      <c r="AH233" s="1098"/>
      <c r="AI233" s="1099"/>
      <c r="AJ233" s="1092">
        <v>1</v>
      </c>
      <c r="AK233" s="1074" t="s">
        <v>46</v>
      </c>
      <c r="AL233" s="1075">
        <v>0</v>
      </c>
      <c r="AM233" s="1076"/>
      <c r="AN233" s="1076"/>
      <c r="AO233" s="1076" t="str">
        <f>IF(Check!S677=$AQ$4,AJ233,IF(OR(Check!S677=$AQ$6,Check!S677=$AY$5,Check!S677=$AY$6),AL233,"NB"))</f>
        <v>NB</v>
      </c>
      <c r="AP233" s="1077" t="str">
        <f>IF(OR(AG$40=AQ$4,AG$41=AQ$4,AG$42=AQ$4),1,"NB")</f>
        <v>NB</v>
      </c>
      <c r="AQ233" s="1076" t="str">
        <f>IF(AP233=1,1,
IF(AO233=1,1,
IF(COUNTIF(AO234:AO238,"NB"),"NB",
IF(SUM(AO234:AO238)&gt;1,1,
IF(AND(SUM(AO234:AO238)&gt;=0,SUM(AO234:AO238)&lt;=1),SUM(AO234:AO238),"NB")))))</f>
        <v>NB</v>
      </c>
      <c r="AR233" s="1076"/>
      <c r="AS233" s="1078" t="str">
        <f>IF(AQ233="NB","NB",AQ233)</f>
        <v>NB</v>
      </c>
      <c r="AT233" s="1100"/>
      <c r="AU233" s="1101"/>
      <c r="AV233" s="1093"/>
      <c r="AW233" s="1078"/>
      <c r="AX233" s="1079"/>
      <c r="AY233" s="1094"/>
      <c r="AZ233" s="1079"/>
      <c r="BA233" s="1094"/>
      <c r="BB233" s="577" t="str">
        <f>IF($AS$233="NB","",
IF($AS$233&gt;=0.85,AF233&amp;" "&amp;AG233&amp;"; ",""))</f>
        <v/>
      </c>
      <c r="BC233" s="582" t="str">
        <f>IF($AS$233="NB","",
IF(AND($AS$233&gt;=0.65,$AS$233&lt;0.85),AF233&amp;" "&amp;AG233&amp;"; ",""))</f>
        <v/>
      </c>
      <c r="BD233" s="398" t="str">
        <f>IF($AS$233="NB","",
IF(AND($AS$233&gt;=0.5,$AS$233&lt;0.65),AF233&amp;" "&amp;AG233&amp;"; ",""))</f>
        <v/>
      </c>
      <c r="BE233" s="579" t="str">
        <f>IF($AS$233="NB","",
IF($AS$233&lt;0.5,AF233&amp;" "&amp;AG233&amp;"; ",""))</f>
        <v/>
      </c>
      <c r="BF233" s="577" t="str">
        <f>IF($AS$233="NB","",
IF($AS$233&gt;=0.85,AF233&amp;" ",""))</f>
        <v/>
      </c>
      <c r="BG233" s="582" t="str">
        <f>IF($AS$233="NB","",
IF(AND($AS$233&gt;=0.65,$AS$233&lt;0.85),AF233&amp;" ",""))</f>
        <v/>
      </c>
      <c r="BH233" s="398" t="str">
        <f>IF($AS$233="NB","",
IF(AND($AS$233&gt;=0.5,$AS$233&lt;0.65),AF233&amp;" ",""))</f>
        <v/>
      </c>
      <c r="BI233" s="579" t="str">
        <f>IF($AS$233="NB","",
IF($AS$233&lt;0.5,AF233&amp;" ",""))</f>
        <v/>
      </c>
      <c r="BJ233" s="138"/>
    </row>
    <row r="234" spans="1:62" ht="15" customHeight="1">
      <c r="A234" s="138"/>
      <c r="B234" s="642"/>
      <c r="C234" s="872" t="str">
        <f>IF(Tool!$H$7="Français",G234,IF(Tool!$H$7="Italiano",I234,E234))</f>
        <v>Wird eine Berechnung der Betriebsenergie respektive der emittierten Treibhausgase für den Betrieb, insbesondere für den Kühlbedarf, auch mit verfügbaren SIA-Klimadaten der Zukunft durchgeführt?</v>
      </c>
      <c r="D234" s="642"/>
      <c r="E234" s="641" t="s">
        <v>971</v>
      </c>
      <c r="F234" s="642"/>
      <c r="G234" s="669" t="s">
        <v>976</v>
      </c>
      <c r="H234" s="642"/>
      <c r="I234" s="669" t="s">
        <v>972</v>
      </c>
      <c r="J234" s="642"/>
      <c r="K234" s="644"/>
      <c r="L234" s="645"/>
      <c r="M234" s="645"/>
      <c r="N234" s="645"/>
      <c r="O234" s="645"/>
      <c r="P234" s="646"/>
      <c r="Q234" s="642"/>
      <c r="R234" s="644"/>
      <c r="S234" s="645"/>
      <c r="T234" s="645"/>
      <c r="U234" s="645"/>
      <c r="V234" s="645"/>
      <c r="W234" s="670"/>
      <c r="X234" s="642"/>
      <c r="Y234" s="644"/>
      <c r="Z234" s="645"/>
      <c r="AA234" s="645"/>
      <c r="AB234" s="645"/>
      <c r="AC234" s="645"/>
      <c r="AD234" s="670"/>
      <c r="AE234" s="138"/>
      <c r="AF234" s="335"/>
      <c r="AG234" s="340"/>
      <c r="AH234" s="766"/>
      <c r="AI234" s="340"/>
      <c r="AJ234" s="43">
        <f>1/5</f>
        <v>0.2</v>
      </c>
      <c r="AK234" s="43">
        <f>AJ234*0.3</f>
        <v>0.06</v>
      </c>
      <c r="AL234" s="43">
        <v>0</v>
      </c>
      <c r="AM234" s="44"/>
      <c r="AN234" s="44"/>
      <c r="AO234" s="1095">
        <v>0.2</v>
      </c>
      <c r="AP234" s="44"/>
      <c r="AQ234" s="44"/>
      <c r="AR234" s="44"/>
      <c r="AS234" s="41"/>
      <c r="AT234" s="41"/>
      <c r="AU234" s="41"/>
      <c r="AV234" s="442"/>
      <c r="AW234" s="44"/>
      <c r="AX234" s="41"/>
      <c r="AY234" s="42"/>
      <c r="AZ234" s="41"/>
      <c r="BA234" s="42"/>
      <c r="BB234" s="577"/>
      <c r="BC234" s="582"/>
      <c r="BD234" s="398"/>
      <c r="BE234" s="579"/>
      <c r="BF234" s="577"/>
      <c r="BG234" s="582"/>
      <c r="BH234" s="398"/>
      <c r="BI234" s="579"/>
      <c r="BJ234" s="138"/>
    </row>
    <row r="235" spans="1:62" ht="15" customHeight="1">
      <c r="A235" s="138"/>
      <c r="B235" s="642"/>
      <c r="C235" s="872" t="str">
        <f>IF(Tool!$H$7="Français",G235,IF(Tool!$H$7="Italiano",I235,E235))</f>
        <v>Liegen die nicht erneuerbare Energie bzw. die Treibhausgase für den Betrieb des Bauvorhabens unter Anwendung der verfügbaren SIA-Klimadaten der Zukunft für die Periode ''2035'', Szenario RCP 8.5, unterhalb des Richtwerts «Betrieb» nach MB SIA 2040?</v>
      </c>
      <c r="D235" s="642"/>
      <c r="E235" s="641" t="s">
        <v>973</v>
      </c>
      <c r="F235" s="642"/>
      <c r="G235" s="669" t="s">
        <v>975</v>
      </c>
      <c r="H235" s="642"/>
      <c r="I235" s="669" t="s">
        <v>1829</v>
      </c>
      <c r="J235" s="642"/>
      <c r="K235" s="644"/>
      <c r="L235" s="645"/>
      <c r="M235" s="645"/>
      <c r="N235" s="645"/>
      <c r="O235" s="645"/>
      <c r="P235" s="646"/>
      <c r="Q235" s="642"/>
      <c r="R235" s="644"/>
      <c r="S235" s="645"/>
      <c r="T235" s="645"/>
      <c r="U235" s="645"/>
      <c r="V235" s="645"/>
      <c r="W235" s="670"/>
      <c r="X235" s="642"/>
      <c r="Y235" s="644"/>
      <c r="Z235" s="645"/>
      <c r="AA235" s="645"/>
      <c r="AB235" s="645"/>
      <c r="AC235" s="645"/>
      <c r="AD235" s="670"/>
      <c r="AE235" s="138"/>
      <c r="AF235" s="335"/>
      <c r="AG235" s="340"/>
      <c r="AH235" s="766"/>
      <c r="AI235" s="340"/>
      <c r="AJ235" s="43">
        <f>1/5</f>
        <v>0.2</v>
      </c>
      <c r="AK235" s="43">
        <f t="shared" ref="AK235:AK237" si="42">AJ235*0.3</f>
        <v>0.06</v>
      </c>
      <c r="AL235" s="43">
        <v>0</v>
      </c>
      <c r="AM235" s="44"/>
      <c r="AN235" s="44"/>
      <c r="AO235" s="1095" t="str">
        <f>IF(Check!S656=$AQ$4,AJ235,IF(Check!S656=$AQ$6,AK235,IF(OR(Check!S656=$AQ$5,AO233=""),AL235,"NB")))</f>
        <v>NB</v>
      </c>
      <c r="AP235" s="44"/>
      <c r="AQ235" s="44"/>
      <c r="AR235" s="44"/>
      <c r="AS235" s="41"/>
      <c r="AT235" s="41"/>
      <c r="AU235" s="41"/>
      <c r="AV235" s="442"/>
      <c r="AW235" s="44"/>
      <c r="AX235" s="41"/>
      <c r="AY235" s="42"/>
      <c r="AZ235" s="41"/>
      <c r="BA235" s="42"/>
      <c r="BB235" s="577"/>
      <c r="BC235" s="582"/>
      <c r="BD235" s="398"/>
      <c r="BE235" s="579"/>
      <c r="BF235" s="577"/>
      <c r="BG235" s="582"/>
      <c r="BH235" s="398"/>
      <c r="BI235" s="579"/>
      <c r="BJ235" s="138"/>
    </row>
    <row r="236" spans="1:62" ht="15" customHeight="1">
      <c r="A236" s="138"/>
      <c r="B236" s="642"/>
      <c r="C236" s="872" t="str">
        <f>IF(Tool!$H$7="Français",G236,IF(Tool!$H$7="Italiano",I236,E236))</f>
        <v>Ist beim Bauvorhaben eine Nachrüstbarkeit mit einer energetisch effizienten Kühlung bzw. Belüftung zur Einhaltung der Richtwerte ''Betrieb'' nach MB SIA 2040 unter Anwendung der SIA-Klimadaten der Zukunft für die Periode ''2060'', Szenario RCP 8.5, gegeben?</v>
      </c>
      <c r="D236" s="642"/>
      <c r="E236" s="641" t="s">
        <v>974</v>
      </c>
      <c r="F236" s="642"/>
      <c r="G236" s="669" t="s">
        <v>505</v>
      </c>
      <c r="H236" s="642"/>
      <c r="I236" s="669" t="s">
        <v>977</v>
      </c>
      <c r="J236" s="642"/>
      <c r="K236" s="644"/>
      <c r="L236" s="645"/>
      <c r="M236" s="645"/>
      <c r="N236" s="645"/>
      <c r="O236" s="645"/>
      <c r="P236" s="646"/>
      <c r="Q236" s="642"/>
      <c r="R236" s="644"/>
      <c r="S236" s="645"/>
      <c r="T236" s="645"/>
      <c r="U236" s="645"/>
      <c r="V236" s="645"/>
      <c r="W236" s="670"/>
      <c r="X236" s="642"/>
      <c r="Y236" s="644"/>
      <c r="Z236" s="645"/>
      <c r="AA236" s="645"/>
      <c r="AB236" s="645"/>
      <c r="AC236" s="645"/>
      <c r="AD236" s="670"/>
      <c r="AE236" s="138"/>
      <c r="AF236" s="335"/>
      <c r="AG236" s="340"/>
      <c r="AH236" s="766"/>
      <c r="AI236" s="340"/>
      <c r="AJ236" s="43">
        <f>1/5</f>
        <v>0.2</v>
      </c>
      <c r="AK236" s="43">
        <v>0.06</v>
      </c>
      <c r="AL236" s="43">
        <v>0</v>
      </c>
      <c r="AM236" s="44">
        <f>AJ236*0.6</f>
        <v>0.12</v>
      </c>
      <c r="AN236" s="44"/>
      <c r="AO236" s="44" t="str">
        <f>IF(Check!S686=$AW$4,AJ236,IF(Check!S686=$AW$5,AM236,IF(Check!S686=$AW$6,AK236,IF(OR(Check!S686=$AQ$5,AO233=""),AL236,"NB"))))</f>
        <v>NB</v>
      </c>
      <c r="AP236" s="44"/>
      <c r="AQ236" s="44"/>
      <c r="AR236" s="44"/>
      <c r="AS236" s="41"/>
      <c r="AT236" s="41"/>
      <c r="AU236" s="41"/>
      <c r="AV236" s="442"/>
      <c r="AW236" s="44"/>
      <c r="AX236" s="41"/>
      <c r="AY236" s="42"/>
      <c r="AZ236" s="41"/>
      <c r="BA236" s="42"/>
      <c r="BB236" s="577"/>
      <c r="BC236" s="582"/>
      <c r="BD236" s="398"/>
      <c r="BE236" s="579"/>
      <c r="BF236" s="577"/>
      <c r="BG236" s="582"/>
      <c r="BH236" s="398"/>
      <c r="BI236" s="579"/>
      <c r="BJ236" s="138"/>
    </row>
    <row r="237" spans="1:62" ht="15" customHeight="1">
      <c r="A237" s="138"/>
      <c r="B237" s="668">
        <v>313</v>
      </c>
      <c r="C237" s="871" t="str">
        <f>IF(Tool!$H$7="Français",G237,IF(Tool!$H$7="Italiano",I237,E237))</f>
        <v>Wird eine Berechnung des Mobilitätsaufwands gemäss Rechenhilfe SIA 2039 vorgenommen und liegen die emittierten Treibhausgase für die gebäudeinduzierte "Mobilität" beim Bauvorhaben unterhalb des entsprechenden Richtwertes des SIA-Effizienzpfad Energie (MB SIA 2040)?</v>
      </c>
      <c r="D237" s="667">
        <f>$B237</f>
        <v>313</v>
      </c>
      <c r="E237" s="562" t="s">
        <v>978</v>
      </c>
      <c r="F237" s="667">
        <f>$B237</f>
        <v>313</v>
      </c>
      <c r="G237" s="563" t="s">
        <v>1853</v>
      </c>
      <c r="H237" s="667">
        <f>$B237</f>
        <v>313</v>
      </c>
      <c r="I237" s="563" t="s">
        <v>979</v>
      </c>
      <c r="J237" s="667">
        <f>$B237</f>
        <v>313</v>
      </c>
      <c r="K237" s="564"/>
      <c r="L237" s="565"/>
      <c r="M237" s="565"/>
      <c r="N237" s="565"/>
      <c r="O237" s="565"/>
      <c r="P237" s="566"/>
      <c r="Q237" s="667">
        <f>$B237</f>
        <v>313</v>
      </c>
      <c r="R237" s="564"/>
      <c r="S237" s="565"/>
      <c r="T237" s="565"/>
      <c r="U237" s="565"/>
      <c r="V237" s="565"/>
      <c r="W237" s="568"/>
      <c r="X237" s="667">
        <f>$B237</f>
        <v>313</v>
      </c>
      <c r="Y237" s="564"/>
      <c r="Z237" s="565"/>
      <c r="AA237" s="565"/>
      <c r="AB237" s="565"/>
      <c r="AC237" s="565"/>
      <c r="AD237" s="568"/>
      <c r="AE237" s="138"/>
      <c r="AF237" s="335"/>
      <c r="AG237" s="340"/>
      <c r="AH237" s="766"/>
      <c r="AI237" s="340"/>
      <c r="AJ237" s="43">
        <f>1/5</f>
        <v>0.2</v>
      </c>
      <c r="AK237" s="43">
        <f t="shared" si="42"/>
        <v>0.06</v>
      </c>
      <c r="AL237" s="43">
        <v>0</v>
      </c>
      <c r="AM237" s="44"/>
      <c r="AN237" s="44"/>
      <c r="AO237" s="44" t="str">
        <f>IF(Check!S689=$AQ$4,AJ237,IF(Check!S689=$AQ$6,AK237,IF(OR(Check!S689=$AQ$5,AO233=""),AL237,"NB")))</f>
        <v>NB</v>
      </c>
      <c r="AP237" s="44"/>
      <c r="AQ237" s="44"/>
      <c r="AR237" s="44"/>
      <c r="AS237" s="41"/>
      <c r="AT237" s="41"/>
      <c r="AU237" s="41"/>
      <c r="AV237" s="442"/>
      <c r="AW237" s="44"/>
      <c r="AX237" s="41"/>
      <c r="AY237" s="42"/>
      <c r="AZ237" s="41"/>
      <c r="BA237" s="42"/>
      <c r="BB237" s="577"/>
      <c r="BC237" s="582"/>
      <c r="BD237" s="398"/>
      <c r="BE237" s="579"/>
      <c r="BF237" s="577"/>
      <c r="BG237" s="582"/>
      <c r="BH237" s="398"/>
      <c r="BI237" s="579"/>
      <c r="BJ237" s="138"/>
    </row>
    <row r="238" spans="1:62" ht="15" customHeight="1">
      <c r="A238" s="138"/>
      <c r="B238" s="667"/>
      <c r="C238" s="871" t="str">
        <f>IF(Tool!$H$7="Français",G238,IF(Tool!$H$7="Italiano",I238,E238))</f>
        <v>Weist das Gebäude bzw. das Grundstück ÖV-Güteklasse B oder besser auf?</v>
      </c>
      <c r="D238" s="667"/>
      <c r="E238" s="562" t="str">
        <f>IF(AG28=AJ6,"Weist das Gebäude bzw. das Grundstück ÖV-Güteklasse D oder besser auf?","Weist das Gebäude bzw. das Grundstück ÖV-Güteklasse B oder besser auf?")</f>
        <v>Weist das Gebäude bzw. das Grundstück ÖV-Güteklasse B oder besser auf?</v>
      </c>
      <c r="F238" s="667"/>
      <c r="G238" s="563" t="str">
        <f>IF(AG28=AJ6,"Le terrain et le bâtiment se situent-ils dans une zone desservie par les TP D ou supérieure ?","Le terrain et le bâtiment se situent-ils dans une zone de desserte par les TP B ou supérieure ?")</f>
        <v>Le terrain et le bâtiment se situent-ils dans une zone de desserte par les TP B ou supérieure ?</v>
      </c>
      <c r="H238" s="667"/>
      <c r="I238" s="563" t="str">
        <f>IF(AG28=AJ6,"L'immobile in progetto o la proprietà dispone di un collegamento di TP di classe D o superiore?","L'immobile in progetto o la proprietà dispone di trasporto pubblico di classe B o superiore?")</f>
        <v>L'immobile in progetto o la proprietà dispone di trasporto pubblico di classe B o superiore?</v>
      </c>
      <c r="J238" s="667"/>
      <c r="K238" s="564"/>
      <c r="L238" s="565"/>
      <c r="M238" s="565"/>
      <c r="N238" s="565"/>
      <c r="O238" s="565"/>
      <c r="P238" s="566"/>
      <c r="Q238" s="667"/>
      <c r="R238" s="564"/>
      <c r="S238" s="565"/>
      <c r="T238" s="565"/>
      <c r="U238" s="565"/>
      <c r="V238" s="565"/>
      <c r="W238" s="568"/>
      <c r="X238" s="667"/>
      <c r="Y238" s="564"/>
      <c r="Z238" s="565"/>
      <c r="AA238" s="565"/>
      <c r="AB238" s="565"/>
      <c r="AC238" s="565"/>
      <c r="AD238" s="568"/>
      <c r="AE238" s="138" t="s">
        <v>28</v>
      </c>
      <c r="AF238" s="335"/>
      <c r="AG238" s="340"/>
      <c r="AH238" s="766"/>
      <c r="AI238" s="340"/>
      <c r="AJ238" s="43">
        <f>1/5</f>
        <v>0.2</v>
      </c>
      <c r="AK238" s="43">
        <f>AJ238*0.3</f>
        <v>0.06</v>
      </c>
      <c r="AL238" s="43">
        <v>0</v>
      </c>
      <c r="AM238" s="44"/>
      <c r="AN238" s="44"/>
      <c r="AO238" s="44" t="str">
        <f>IF(Check!S692=$AQ$4,AJ238,IF(Check!S692=$AQ$6,AK238,IF(OR(Check!S692=$AQ$5,AO233=""),AL238,"NB")))</f>
        <v>NB</v>
      </c>
      <c r="AP238" s="44"/>
      <c r="AQ238" s="44"/>
      <c r="AR238" s="44"/>
      <c r="AS238" s="41"/>
      <c r="AT238" s="41"/>
      <c r="AU238" s="41"/>
      <c r="AV238" s="442"/>
      <c r="AW238" s="44"/>
      <c r="AX238" s="1"/>
      <c r="AY238" s="38"/>
      <c r="AZ238" s="1"/>
      <c r="BA238" s="38"/>
      <c r="BB238" s="577"/>
      <c r="BC238" s="582"/>
      <c r="BD238" s="398"/>
      <c r="BE238" s="579"/>
      <c r="BF238" s="577"/>
      <c r="BG238" s="582"/>
      <c r="BH238" s="398"/>
      <c r="BI238" s="579"/>
      <c r="BJ238" s="138"/>
    </row>
    <row r="239" spans="1:62" ht="15" customHeight="1">
      <c r="A239" s="138"/>
      <c r="B239" s="667"/>
      <c r="C239" s="871" t="str">
        <f>IF(Tool!$H$7="Français",G239,IF(Tool!$H$7="Italiano",I239,E239))</f>
        <v>Wird die minimale Anzahl Parkplätze in der gesetzlichen Spannweite oder gar eine weiter gehende Reduktion der Anzahl angestrebt (0.3 PP pro Mitarbeitende)?</v>
      </c>
      <c r="D239" s="667"/>
      <c r="E239" s="569" t="str">
        <f>IF(AG26=AG4,"Wird die minimale Anzahl Parkplätze in der gesetzlichen Spannweite oder gar eine weiter gehende Reduktion der Anzahl angestrebt (z. B. 0.8 PP pro Wohung)?","Wird die minimale Anzahl Parkplätze in der gesetzlichen Spannweite oder gar eine weiter gehende Reduktion der Anzahl angestrebt (0.3 PP pro Mitarbeitende)?")</f>
        <v>Wird die minimale Anzahl Parkplätze in der gesetzlichen Spannweite oder gar eine weiter gehende Reduktion der Anzahl angestrebt (0.3 PP pro Mitarbeitende)?</v>
      </c>
      <c r="F239" s="667"/>
      <c r="G239" s="563" t="str">
        <f>IF(AG26=AG4,"Le nombre de places de parking correspond-il à la plage légalement définie ou se trouve-t-il même en dessous (par ex. 0.8 pl. stationnement pour appartement) ?","Le nombre de places de parking correspond-il à la plage légalement définie ou se trouve-t-il même en dessous (par ex. 0.33 pl. stationnement pour collaborateur) ?")</f>
        <v>Le nombre de places de parking correspond-il à la plage légalement définie ou se trouve-t-il même en dessous (par ex. 0.33 pl. stationnement pour collaborateur) ?</v>
      </c>
      <c r="H239" s="667"/>
      <c r="I239" s="563" t="str">
        <f>IF(AG26=AG4,"Il numero minimo di posti auto a disposizuione rientra nei limiti di legge o si sta cercando di ridurne ulteriormente il numero (ad es. 0,8 PP per abitazione)?"," Il numero minimo di posti auto a disposizuione rientra nei limiti di legge o si sta cercando di ridurne ulteriormente il numero (ad es. 0,33 PP per collaboratore/collaboratrice)?")</f>
        <v xml:space="preserve"> Il numero minimo di posti auto a disposizuione rientra nei limiti di legge o si sta cercando di ridurne ulteriormente il numero (ad es. 0,33 PP per collaboratore/collaboratrice)?</v>
      </c>
      <c r="J239" s="667"/>
      <c r="K239" s="564"/>
      <c r="L239" s="565"/>
      <c r="M239" s="565"/>
      <c r="N239" s="565"/>
      <c r="O239" s="565"/>
      <c r="P239" s="566"/>
      <c r="Q239" s="667"/>
      <c r="R239" s="564"/>
      <c r="S239" s="565"/>
      <c r="T239" s="565"/>
      <c r="U239" s="565"/>
      <c r="V239" s="565"/>
      <c r="W239" s="568"/>
      <c r="X239" s="667"/>
      <c r="Y239" s="564"/>
      <c r="Z239" s="565"/>
      <c r="AA239" s="565"/>
      <c r="AB239" s="565"/>
      <c r="AC239" s="565"/>
      <c r="AD239" s="568"/>
      <c r="AE239" s="138" t="s">
        <v>28</v>
      </c>
      <c r="AF239" s="1096">
        <f>AQ47</f>
        <v>312</v>
      </c>
      <c r="AG239" s="1097" t="str">
        <f>AR47</f>
        <v>Treibhausgasemissionen Betrieb</v>
      </c>
      <c r="AH239" s="1098"/>
      <c r="AI239" s="1099"/>
      <c r="AJ239" s="1092">
        <v>1</v>
      </c>
      <c r="AK239" s="1074" t="s">
        <v>46</v>
      </c>
      <c r="AL239" s="1075">
        <v>0</v>
      </c>
      <c r="AM239" s="1076"/>
      <c r="AN239" s="1076"/>
      <c r="AO239" s="1076" t="str">
        <f>IF(Check!S695=$AQ$4,AJ239,IF(OR(Check!S695=$AQ$6,Check!S695=$AS$5,Check!S695=$AS$6),AL239,"NB"))</f>
        <v>NB</v>
      </c>
      <c r="AP239" s="1077"/>
      <c r="AQ239" s="1076" t="str">
        <f>IF(AP239=1,1,
IF(AO239=1,1,
IF(COUNTIF(AO240:AO244,"NB"),"NB",
IF(SUM(AO240:AO244)&gt;1,1,
IF(AND(SUM(AO240:AO244)&gt;=0,SUM(AO240:AO244)&lt;=1),SUM(AO240:AO244),"NB")))))</f>
        <v>NB</v>
      </c>
      <c r="AR239" s="1076"/>
      <c r="AS239" s="1078" t="str">
        <f>IF(AQ239="NB","NB",AQ239)</f>
        <v>NB</v>
      </c>
      <c r="AT239" s="1100"/>
      <c r="AU239" s="1101"/>
      <c r="AV239" s="701"/>
      <c r="AW239" s="1492" t="str">
        <f>AS239</f>
        <v>NB</v>
      </c>
      <c r="AX239" s="655"/>
      <c r="AY239" s="1491"/>
      <c r="AZ239" s="1079"/>
      <c r="BA239" s="1094" t="str">
        <f>AW239</f>
        <v>NB</v>
      </c>
      <c r="BB239" s="577" t="str">
        <f>IF($AS$239="NB","",
IF($AS$239&gt;=0.85,AF239&amp;" "&amp;AG239&amp;"; ",""))</f>
        <v/>
      </c>
      <c r="BC239" s="582" t="str">
        <f>IF($AS$239="NB","",
IF(AND($AS$239&gt;=0.65,$AS$239&lt;0.85),AF239&amp;" "&amp;AG239&amp;"; ",""))</f>
        <v/>
      </c>
      <c r="BD239" s="398" t="str">
        <f>IF($AS$239="NB","",
IF(AND($AS$239&gt;=0.5,$AS$239&lt;0.65),AF239&amp;" "&amp;AG239&amp;"; ",""))</f>
        <v/>
      </c>
      <c r="BE239" s="579" t="str">
        <f>IF($AS$239="NB","",
IF($AS$239&lt;0.5,AF239&amp;" "&amp;AG239&amp;"; ",""))</f>
        <v/>
      </c>
      <c r="BF239" s="577" t="str">
        <f>IF($AS$239="NB","",
IF($AS$239&gt;=0.85,AF239&amp;" ",""))</f>
        <v/>
      </c>
      <c r="BG239" s="582" t="str">
        <f>IF($AS$239="NB","",
IF(AND($AS$239&gt;=0.65,$AS$239&lt;0.85),AF239&amp;" ",""))</f>
        <v/>
      </c>
      <c r="BH239" s="398" t="str">
        <f>IF($AS$239="NB","",
IF(AND($AS$239&gt;=0.5,$AS$239&lt;0.65),AF239&amp;" ",""))</f>
        <v/>
      </c>
      <c r="BI239" s="579" t="str">
        <f>IF($AS$239="NB","",
IF($AS$239&lt;0.5,AF239&amp;" ",""))</f>
        <v/>
      </c>
      <c r="BJ239" s="138"/>
    </row>
    <row r="240" spans="1:62" ht="15" customHeight="1">
      <c r="A240" s="138"/>
      <c r="B240" s="667"/>
      <c r="C240" s="871" t="str">
        <f>IF(Tool!$H$7="Français",G240,IF(Tool!$H$7="Italiano",I240,E240))</f>
        <v>Sind in der Nähe Car-Sharing-Angebote vorhanden oder werden welche im Projekt zur Verfügung gestellt werden?</v>
      </c>
      <c r="D240" s="667"/>
      <c r="E240" s="571" t="str">
        <f>IF(OR(AG$26=AG$5,AG$26=AG$6),M240,"Sind in der Nähe Car-Sharing-Angebote vorhanden oder werden welche im Projekt zur Verfügung gestellt werden?")</f>
        <v>Sind in der Nähe Car-Sharing-Angebote vorhanden oder werden welche im Projekt zur Verfügung gestellt werden?</v>
      </c>
      <c r="F240" s="667"/>
      <c r="G240" s="563" t="str">
        <f>IF(OR(AG$26=AG$5,AG$26=AG$6),T240,"Existe-t-il des offres de covoiturage à proximité ou en sera-t-il mis en place dans le cadre du projet ?")</f>
        <v>Existe-t-il des offres de covoiturage à proximité ou en sera-t-il mis en place dans le cadre du projet ?</v>
      </c>
      <c r="H240" s="667"/>
      <c r="I240" s="570" t="str">
        <f>IF(OR(AG$26=AG$5,AG$26=AG$6),AA240,"I servizi di car sharing sono disponibili nella zona o saranno resi disponibili nel progetto?")</f>
        <v>I servizi di car sharing sono disponibili nella zona o saranno resi disponibili nel progetto?</v>
      </c>
      <c r="J240" s="667"/>
      <c r="K240" s="564"/>
      <c r="L240" s="565"/>
      <c r="M240" s="571" t="s">
        <v>980</v>
      </c>
      <c r="N240" s="565"/>
      <c r="O240" s="565"/>
      <c r="P240" s="566"/>
      <c r="Q240" s="667"/>
      <c r="R240" s="564"/>
      <c r="S240" s="565"/>
      <c r="T240" s="565" t="s">
        <v>981</v>
      </c>
      <c r="U240" s="565"/>
      <c r="V240" s="565"/>
      <c r="W240" s="568"/>
      <c r="X240" s="667"/>
      <c r="Y240" s="564"/>
      <c r="Z240" s="565"/>
      <c r="AA240" s="565" t="s">
        <v>982</v>
      </c>
      <c r="AB240" s="565"/>
      <c r="AC240" s="565"/>
      <c r="AD240" s="568"/>
      <c r="AE240" s="138" t="s">
        <v>28</v>
      </c>
      <c r="AF240" s="335"/>
      <c r="AG240" s="340"/>
      <c r="AH240" s="766"/>
      <c r="AI240" s="340"/>
      <c r="AJ240" s="43">
        <f>1/5</f>
        <v>0.2</v>
      </c>
      <c r="AK240" s="43">
        <f>AJ240*0.3</f>
        <v>0.06</v>
      </c>
      <c r="AL240" s="43">
        <v>0</v>
      </c>
      <c r="AM240" s="44"/>
      <c r="AN240" s="44"/>
      <c r="AO240" s="1095" t="str">
        <f>IF(Check!S656=$AQ$4,AJ240,IF(Check!S656=$AQ$6,AK240,IF(OR(Check!S656=$AQ$5,AO239=""),AL240,"NB")))</f>
        <v>NB</v>
      </c>
      <c r="AP240" s="44"/>
      <c r="AQ240" s="44"/>
      <c r="AR240" s="44"/>
      <c r="AS240" s="41"/>
      <c r="AT240" s="41"/>
      <c r="AU240" s="41"/>
      <c r="AV240" s="442"/>
      <c r="AW240" s="44"/>
      <c r="AX240" s="41"/>
      <c r="AY240" s="42"/>
      <c r="AZ240" s="41"/>
      <c r="BA240" s="42"/>
      <c r="BB240" s="577"/>
      <c r="BC240" s="582"/>
      <c r="BD240" s="398"/>
      <c r="BE240" s="579"/>
      <c r="BF240" s="577"/>
      <c r="BG240" s="582"/>
      <c r="BH240" s="398"/>
      <c r="BI240" s="579"/>
      <c r="BJ240" s="138"/>
    </row>
    <row r="241" spans="1:62" ht="15" customHeight="1">
      <c r="A241" s="138"/>
      <c r="B241" s="666"/>
      <c r="C241" s="868" t="str">
        <f>IF(Tool!$H$7="Français",G241,IF(Tool!$H$7="Italiano",I241,E241))</f>
        <v>Ressourcenschonung und Umweltschutz</v>
      </c>
      <c r="D241" s="666"/>
      <c r="E241" s="560" t="s">
        <v>861</v>
      </c>
      <c r="F241" s="666"/>
      <c r="G241" s="561" t="s">
        <v>862</v>
      </c>
      <c r="H241" s="666"/>
      <c r="I241" s="561" t="s">
        <v>863</v>
      </c>
      <c r="J241" s="666"/>
      <c r="K241" s="961" t="str">
        <f>E241</f>
        <v>Ressourcenschonung und Umweltschutz</v>
      </c>
      <c r="L241" s="962"/>
      <c r="M241" s="962"/>
      <c r="N241" s="962"/>
      <c r="O241" s="962"/>
      <c r="P241" s="963"/>
      <c r="Q241" s="666"/>
      <c r="R241" s="961" t="str">
        <f>G241</f>
        <v>Préservation des ressources et protection de l’environnement</v>
      </c>
      <c r="S241" s="962"/>
      <c r="T241" s="962"/>
      <c r="U241" s="962"/>
      <c r="V241" s="962"/>
      <c r="W241" s="963"/>
      <c r="X241" s="666"/>
      <c r="Y241" s="964" t="str">
        <f>I241</f>
        <v>Salvaguardia delle risorse e dell’ambiente</v>
      </c>
      <c r="Z241" s="965"/>
      <c r="AA241" s="965"/>
      <c r="AB241" s="965"/>
      <c r="AC241" s="965"/>
      <c r="AD241" s="966"/>
      <c r="AE241" s="138" t="s">
        <v>28</v>
      </c>
      <c r="AF241" s="335"/>
      <c r="AG241" s="340"/>
      <c r="AH241" s="766"/>
      <c r="AI241" s="340"/>
      <c r="AJ241" s="43">
        <f>1/5</f>
        <v>0.2</v>
      </c>
      <c r="AK241" s="43">
        <f t="shared" ref="AK241:AK244" si="43">AJ241*0.3</f>
        <v>0.06</v>
      </c>
      <c r="AL241" s="43">
        <v>0</v>
      </c>
      <c r="AM241" s="44">
        <v>0.12</v>
      </c>
      <c r="AN241" s="44"/>
      <c r="AO241" s="1095" t="str">
        <f>IF(Check!S686=$AW$4,AJ241,IF(Check!S686=$AW$5,AM241,IF(Check!S686=$AW$6,AK241,IF(OR(Check!S686=$AQ$5,,AO239=""),AL241,"NB"))))</f>
        <v>NB</v>
      </c>
      <c r="AP241" s="44"/>
      <c r="AQ241" s="44"/>
      <c r="AR241" s="44"/>
      <c r="AS241" s="41"/>
      <c r="AT241" s="41"/>
      <c r="AU241" s="41"/>
      <c r="AV241" s="442"/>
      <c r="AW241" s="44"/>
      <c r="AX241" s="41"/>
      <c r="AY241" s="42"/>
      <c r="AZ241" s="41"/>
      <c r="BA241" s="42"/>
      <c r="BB241" s="577"/>
      <c r="BC241" s="582"/>
      <c r="BD241" s="398"/>
      <c r="BE241" s="579"/>
      <c r="BF241" s="577"/>
      <c r="BG241" s="582"/>
      <c r="BH241" s="398"/>
      <c r="BI241" s="579"/>
      <c r="BJ241" s="138"/>
    </row>
    <row r="242" spans="1:62" ht="15" customHeight="1">
      <c r="A242" s="138"/>
      <c r="B242" s="667">
        <v>331</v>
      </c>
      <c r="C242" s="871" t="str">
        <f>IF(Tool!$H$7="Français",G242,IF(Tool!$H$7="Italiano",I242,E242))</f>
        <v>Werden Massnahmen zur Minimierung der Umweltbelastung durch die Baustelle und der Bauprozesse eingeleitet? (z. B. gemäss SIA 431, BAFU-Richtlinien, eco-BKP)</v>
      </c>
      <c r="D242" s="667">
        <f>$B242</f>
        <v>331</v>
      </c>
      <c r="E242" s="562" t="s">
        <v>983</v>
      </c>
      <c r="F242" s="667">
        <f>$B242</f>
        <v>331</v>
      </c>
      <c r="G242" s="563" t="s">
        <v>380</v>
      </c>
      <c r="H242" s="667">
        <f>$B242</f>
        <v>331</v>
      </c>
      <c r="I242" s="563" t="s">
        <v>984</v>
      </c>
      <c r="J242" s="667">
        <f>$B242</f>
        <v>331</v>
      </c>
      <c r="K242" s="564"/>
      <c r="L242" s="565"/>
      <c r="M242" s="565"/>
      <c r="N242" s="565"/>
      <c r="O242" s="565"/>
      <c r="P242" s="566"/>
      <c r="Q242" s="667">
        <f>$B242</f>
        <v>331</v>
      </c>
      <c r="R242" s="564"/>
      <c r="S242" s="565"/>
      <c r="T242" s="565"/>
      <c r="U242" s="565"/>
      <c r="V242" s="572"/>
      <c r="W242" s="568"/>
      <c r="X242" s="667">
        <f>$B242</f>
        <v>331</v>
      </c>
      <c r="Y242" s="564"/>
      <c r="Z242" s="565"/>
      <c r="AA242" s="565"/>
      <c r="AB242" s="565"/>
      <c r="AC242" s="572"/>
      <c r="AD242" s="568"/>
      <c r="AE242" s="138" t="s">
        <v>28</v>
      </c>
      <c r="AF242" s="335"/>
      <c r="AG242" s="340"/>
      <c r="AH242" s="766"/>
      <c r="AI242" s="340"/>
      <c r="AJ242" s="43">
        <f>1/5</f>
        <v>0.2</v>
      </c>
      <c r="AK242" s="43">
        <f t="shared" si="43"/>
        <v>0.06</v>
      </c>
      <c r="AL242" s="43">
        <v>0</v>
      </c>
      <c r="AM242" s="44">
        <v>0.12</v>
      </c>
      <c r="AN242" s="44"/>
      <c r="AO242" s="44" t="str">
        <f>IF(Check!S704=$AX$4,AJ242,IF(Check!S704=$AQ$4,AM242,IF(Check!S704=$AQ$6,AK242,IF(OR(Check!S704=$AQ$5,AO239=""),AL242,"NB"))))</f>
        <v>NB</v>
      </c>
      <c r="AP242" s="44"/>
      <c r="AQ242" s="44"/>
      <c r="AR242" s="44"/>
      <c r="AS242" s="41"/>
      <c r="AT242" s="41"/>
      <c r="AU242" s="41"/>
      <c r="AV242" s="442"/>
      <c r="AW242" s="44"/>
      <c r="AX242" s="41"/>
      <c r="AY242" s="42"/>
      <c r="AZ242" s="41"/>
      <c r="BA242" s="42"/>
      <c r="BB242" s="577"/>
      <c r="BC242" s="582"/>
      <c r="BD242" s="398"/>
      <c r="BE242" s="579"/>
      <c r="BF242" s="577"/>
      <c r="BG242" s="582"/>
      <c r="BH242" s="398"/>
      <c r="BI242" s="579"/>
      <c r="BJ242" s="138"/>
    </row>
    <row r="243" spans="1:62" ht="15" customHeight="1">
      <c r="A243" s="138"/>
      <c r="B243" s="667"/>
      <c r="C243" s="871" t="str">
        <f>IF(Tool!$H$7="Français",G243,IF(Tool!$H$7="Italiano",I243,E243))</f>
        <v>Wird ein Konzept zur Wiederverwendung, zum Recycling oder zur Entsorgung der vorhandenen oder einzusetzenden Baumaterialien und Abfälle erstellt?</v>
      </c>
      <c r="D243" s="667"/>
      <c r="E243" s="562" t="s">
        <v>985</v>
      </c>
      <c r="F243" s="667"/>
      <c r="G243" s="563" t="s">
        <v>1854</v>
      </c>
      <c r="H243" s="667"/>
      <c r="I243" s="563" t="s">
        <v>986</v>
      </c>
      <c r="J243" s="667"/>
      <c r="K243" s="564"/>
      <c r="L243" s="565"/>
      <c r="M243" s="565"/>
      <c r="N243" s="565"/>
      <c r="O243" s="565"/>
      <c r="P243" s="566"/>
      <c r="Q243" s="667"/>
      <c r="R243" s="564"/>
      <c r="S243" s="565"/>
      <c r="T243" s="565"/>
      <c r="U243" s="565"/>
      <c r="V243" s="572"/>
      <c r="W243" s="568"/>
      <c r="X243" s="667"/>
      <c r="Y243" s="564"/>
      <c r="Z243" s="565"/>
      <c r="AA243" s="565"/>
      <c r="AB243" s="565"/>
      <c r="AC243" s="572"/>
      <c r="AD243" s="568"/>
      <c r="AE243" s="138" t="s">
        <v>28</v>
      </c>
      <c r="AF243" s="335"/>
      <c r="AG243" s="340"/>
      <c r="AH243" s="766"/>
      <c r="AI243" s="340"/>
      <c r="AJ243" s="43">
        <f>1/5</f>
        <v>0.2</v>
      </c>
      <c r="AK243" s="43">
        <f t="shared" si="43"/>
        <v>0.06</v>
      </c>
      <c r="AL243" s="43">
        <v>0</v>
      </c>
      <c r="AM243" s="44"/>
      <c r="AN243" s="44"/>
      <c r="AO243" s="44" t="str">
        <f>IF(Check!S707=$AQ$4,AJ243,IF(Check!S707=$AQ$6,AK243,IF(OR(Check!S707=$AQ$5,AO239=""),AL243,"NB")))</f>
        <v>NB</v>
      </c>
      <c r="AP243" s="44"/>
      <c r="AQ243" s="44"/>
      <c r="AR243" s="44"/>
      <c r="AS243" s="41"/>
      <c r="AT243" s="41"/>
      <c r="AU243" s="41"/>
      <c r="AV243" s="442"/>
      <c r="AW243" s="44"/>
      <c r="AX243" s="41"/>
      <c r="AY243" s="42"/>
      <c r="AZ243" s="41"/>
      <c r="BA243" s="42"/>
      <c r="BB243" s="577"/>
      <c r="BC243" s="582"/>
      <c r="BD243" s="398"/>
      <c r="BE243" s="579"/>
      <c r="BF243" s="577"/>
      <c r="BG243" s="582"/>
      <c r="BH243" s="398"/>
      <c r="BI243" s="579"/>
      <c r="BJ243" s="138"/>
    </row>
    <row r="244" spans="1:62" ht="15" customHeight="1">
      <c r="A244" s="138"/>
      <c r="B244" s="667"/>
      <c r="C244" s="871" t="str">
        <f>IF(Tool!$H$7="Français",G244,IF(Tool!$H$7="Italiano",I244,E244))</f>
        <v>Wird eine Schadstoffuntersuchung des Gebäudebestands (Asbest, PCB, PCP) durchgeführt und werden schadstoffhaltige Materialien fachgerecht entsorgt? (''Ja'' falls keine Bauwerke um- oder zurückgebaut werden oder diese 1990 und später erstellt wurden)</v>
      </c>
      <c r="D244" s="667"/>
      <c r="E244" s="562" t="s">
        <v>987</v>
      </c>
      <c r="F244" s="667"/>
      <c r="G244" s="563" t="s">
        <v>1855</v>
      </c>
      <c r="H244" s="667"/>
      <c r="I244" s="563" t="s">
        <v>988</v>
      </c>
      <c r="J244" s="667"/>
      <c r="K244" s="564"/>
      <c r="L244" s="565"/>
      <c r="M244" s="565"/>
      <c r="N244" s="565"/>
      <c r="O244" s="565"/>
      <c r="P244" s="566"/>
      <c r="Q244" s="667"/>
      <c r="R244" s="564"/>
      <c r="S244" s="565"/>
      <c r="T244" s="565"/>
      <c r="U244" s="565"/>
      <c r="V244" s="572"/>
      <c r="W244" s="568"/>
      <c r="X244" s="667"/>
      <c r="Y244" s="564"/>
      <c r="Z244" s="565"/>
      <c r="AA244" s="565"/>
      <c r="AB244" s="565"/>
      <c r="AC244" s="572"/>
      <c r="AD244" s="568"/>
      <c r="AE244" s="138" t="s">
        <v>28</v>
      </c>
      <c r="AF244" s="335"/>
      <c r="AG244" s="340"/>
      <c r="AH244" s="766"/>
      <c r="AI244" s="340"/>
      <c r="AJ244" s="43">
        <f>1/5</f>
        <v>0.2</v>
      </c>
      <c r="AK244" s="43">
        <f t="shared" si="43"/>
        <v>0.06</v>
      </c>
      <c r="AL244" s="43">
        <v>0</v>
      </c>
      <c r="AM244" s="44"/>
      <c r="AN244" s="44"/>
      <c r="AO244" s="44" t="str">
        <f>IF(Check!S710=$AQ$4,AJ244,IF(Check!S710=$AQ$6,AK244,IF(OR(Check!S710=$AQ$5,AO239=""),AL244,"NB")))</f>
        <v>NB</v>
      </c>
      <c r="AP244" s="44"/>
      <c r="AQ244" s="44"/>
      <c r="AR244" s="44"/>
      <c r="AS244" s="41"/>
      <c r="AT244" s="41"/>
      <c r="AU244" s="41"/>
      <c r="AV244" s="442"/>
      <c r="AW244" s="44"/>
      <c r="AX244" s="41"/>
      <c r="AY244" s="42"/>
      <c r="AZ244" s="41"/>
      <c r="BA244" s="42"/>
      <c r="BB244" s="577"/>
      <c r="BC244" s="582"/>
      <c r="BD244" s="398"/>
      <c r="BE244" s="579"/>
      <c r="BF244" s="577"/>
      <c r="BG244" s="582"/>
      <c r="BH244" s="398"/>
      <c r="BI244" s="579"/>
      <c r="BJ244" s="138"/>
    </row>
    <row r="245" spans="1:62" ht="15" customHeight="1">
      <c r="A245" s="138"/>
      <c r="B245" s="667"/>
      <c r="C245" s="871" t="str">
        <f>IF(Tool!$H$7="Français",G245,IF(Tool!$H$7="Italiano",I245,E245))</f>
        <v>Werden die BAFU-Richtlinien zur Luftreinhaltung auf der Baustelle befolgt?</v>
      </c>
      <c r="D245" s="667"/>
      <c r="E245" s="562" t="s">
        <v>23</v>
      </c>
      <c r="F245" s="667"/>
      <c r="G245" s="563" t="s">
        <v>992</v>
      </c>
      <c r="H245" s="667"/>
      <c r="I245" s="563" t="s">
        <v>991</v>
      </c>
      <c r="J245" s="667"/>
      <c r="K245" s="564"/>
      <c r="L245" s="565"/>
      <c r="M245" s="565"/>
      <c r="N245" s="565"/>
      <c r="O245" s="565"/>
      <c r="P245" s="566"/>
      <c r="Q245" s="667"/>
      <c r="R245" s="564"/>
      <c r="S245" s="565"/>
      <c r="T245" s="565"/>
      <c r="U245" s="565"/>
      <c r="V245" s="572"/>
      <c r="W245" s="568"/>
      <c r="X245" s="667"/>
      <c r="Y245" s="564"/>
      <c r="Z245" s="565"/>
      <c r="AA245" s="565"/>
      <c r="AB245" s="565"/>
      <c r="AC245" s="572"/>
      <c r="AD245" s="568"/>
      <c r="AE245" s="138" t="s">
        <v>28</v>
      </c>
      <c r="AF245" s="1006" t="str">
        <f>AT$46</f>
        <v>K312</v>
      </c>
      <c r="AG245" s="1003" t="str">
        <f>AU46</f>
        <v>THGE im Klimawandel</v>
      </c>
      <c r="AH245" s="1007"/>
      <c r="AI245" s="1003"/>
      <c r="AJ245" s="1008">
        <v>1</v>
      </c>
      <c r="AK245" s="1008" t="s">
        <v>46</v>
      </c>
      <c r="AL245" s="1008">
        <v>0</v>
      </c>
      <c r="AM245" s="1012"/>
      <c r="AN245" s="1012"/>
      <c r="AO245" s="1023" t="str">
        <f>IF(Check!S713=$AQ$4,AJ245,IF(OR(Check!S713=$AQ$6,Check!S713=$AQ$5,Check!S713=$AU$6),AL245,"NB"))</f>
        <v>NB</v>
      </c>
      <c r="AP245" s="1012"/>
      <c r="AQ245" s="1012"/>
      <c r="AR245" s="1012"/>
      <c r="AS245" s="1012"/>
      <c r="AT245" s="1012"/>
      <c r="AU245" s="1012"/>
      <c r="AV245" s="1009" t="str">
        <f>IF(AP245=1,1,
IF(AO245=1,1,
IF(COUNTIF(AO246:AO248,"NB"),"NB",
IF(SUM(AO246:AO248)&gt;1,1,
IF(AND(SUM(AO246:AO248)&gt;=0,SUM(AO246:AO248)&lt;=1),SUM(AO246:AO248),"NB")))))</f>
        <v>NB</v>
      </c>
      <c r="AW245" s="655" t="str">
        <f>IF(AV245="NB","NB",AV245)</f>
        <v>NB</v>
      </c>
      <c r="AX245" s="1012"/>
      <c r="AY245" s="1035"/>
      <c r="AZ245" s="1012"/>
      <c r="BA245" s="1495" t="str">
        <f>AW245</f>
        <v>NB</v>
      </c>
      <c r="BB245" s="577" t="str">
        <f>IF($AW$245="NB","",
IF($AW$245&gt;=0.85,AF245&amp;" "&amp;AG245&amp;"; ",""))</f>
        <v/>
      </c>
      <c r="BC245" s="582" t="str">
        <f>IF($AW$245="NB","",
IF(AND($AW$245&gt;=0.65,$AW$245&lt;0.85),AF245&amp;" "&amp;AG245&amp;"; ",""))</f>
        <v/>
      </c>
      <c r="BD245" s="398" t="str">
        <f>IF($AW$245="NB","",
IF(AND($AW$245&gt;=0.5,$AW$245&lt;0.65),AF245&amp;" "&amp;AG245&amp;"; ",""))</f>
        <v/>
      </c>
      <c r="BE245" s="579" t="str">
        <f>IF($AW$245="NB","",
IF($AW$245&lt;0.5,AF245&amp;" "&amp;AG245&amp;"; ",""))</f>
        <v/>
      </c>
      <c r="BF245" s="577" t="str">
        <f>IF($AW$245="NB","",
IF($AW$245&gt;=0.85,AF245&amp;" ",""))</f>
        <v/>
      </c>
      <c r="BG245" s="582" t="str">
        <f>IF($AW$245="NB","",
IF(AND($AW$245&gt;=0.65,$AW$245&lt;0.85),AF245&amp;" ",""))</f>
        <v/>
      </c>
      <c r="BH245" s="398" t="str">
        <f>IF($AW$245="NB","",
IF(AND($AW$245&gt;=0.5,$AW$245&lt;0.65),AF245&amp;" ",""))</f>
        <v/>
      </c>
      <c r="BI245" s="579" t="str">
        <f>IF($AW$245="NB","",
IF($AW$245&lt;0.5,AF245&amp;" ",""))</f>
        <v/>
      </c>
      <c r="BJ245" s="138"/>
    </row>
    <row r="246" spans="1:62" ht="15" customHeight="1">
      <c r="A246" s="138"/>
      <c r="B246" s="667"/>
      <c r="C246" s="871" t="str">
        <f>IF(Tool!$H$7="Français",G246,IF(Tool!$H$7="Italiano",I246,E246))</f>
        <v>Wird ein Konzept zum Schutz von Grundwasser, Gewässer und Böden während des Baus erstellt oder ist dies aufgrund des kleinen Eingriffs am Bestand nicht notwendig?</v>
      </c>
      <c r="D246" s="667"/>
      <c r="E246" s="562" t="s">
        <v>989</v>
      </c>
      <c r="F246" s="667"/>
      <c r="G246" s="563" t="s">
        <v>993</v>
      </c>
      <c r="H246" s="667"/>
      <c r="I246" s="563" t="s">
        <v>990</v>
      </c>
      <c r="J246" s="667"/>
      <c r="K246" s="564"/>
      <c r="L246" s="565"/>
      <c r="M246" s="565"/>
      <c r="N246" s="565"/>
      <c r="O246" s="565"/>
      <c r="P246" s="566"/>
      <c r="Q246" s="667"/>
      <c r="R246" s="564"/>
      <c r="S246" s="565"/>
      <c r="T246" s="565"/>
      <c r="U246" s="565"/>
      <c r="V246" s="572"/>
      <c r="W246" s="568"/>
      <c r="X246" s="667"/>
      <c r="Y246" s="564"/>
      <c r="Z246" s="565"/>
      <c r="AA246" s="565"/>
      <c r="AB246" s="565"/>
      <c r="AC246" s="572"/>
      <c r="AD246" s="568"/>
      <c r="AE246" s="138" t="s">
        <v>28</v>
      </c>
      <c r="AF246" s="1006" t="str">
        <f>AT$47</f>
        <v>K322</v>
      </c>
      <c r="AG246" s="1003" t="str">
        <f>AU47</f>
        <v>Betriebsenergie im Klimawandel</v>
      </c>
      <c r="AH246" s="771"/>
      <c r="AI246" s="769"/>
      <c r="AJ246" s="43">
        <f>AJ245/3</f>
        <v>0.33333333333333331</v>
      </c>
      <c r="AK246" s="43">
        <f t="shared" ref="AK246:AK248" si="44">AJ246*0.3</f>
        <v>9.9999999999999992E-2</v>
      </c>
      <c r="AL246" s="43">
        <v>0</v>
      </c>
      <c r="AM246" s="44"/>
      <c r="AN246" s="44"/>
      <c r="AO246" s="44" t="str">
        <f>IF(Check!S716=$AQ$4,AJ246,IF(Check!S716=$AQ$6,AK246,IF(OR(Check!S716=$AQ$5,AO245=""),AL246,"NB")))</f>
        <v>NB</v>
      </c>
      <c r="AP246" s="981"/>
      <c r="AQ246" s="44"/>
      <c r="AR246" s="44"/>
      <c r="AS246" s="146"/>
      <c r="AT246" s="41"/>
      <c r="AU246" s="41"/>
      <c r="AV246" s="1009" t="str">
        <f>AV245</f>
        <v>NB</v>
      </c>
      <c r="AW246" s="655" t="str">
        <f>AW245</f>
        <v>NB</v>
      </c>
      <c r="AX246" s="41"/>
      <c r="AY246" s="42"/>
      <c r="AZ246" s="41" t="str">
        <f>AW246</f>
        <v>NB</v>
      </c>
      <c r="BA246" s="42"/>
      <c r="BB246" s="577"/>
      <c r="BC246" s="582"/>
      <c r="BD246" s="398"/>
      <c r="BE246" s="579"/>
      <c r="BF246" s="577"/>
      <c r="BG246" s="582"/>
      <c r="BH246" s="398"/>
      <c r="BI246" s="579"/>
      <c r="BJ246" s="138"/>
    </row>
    <row r="247" spans="1:62" ht="15" customHeight="1">
      <c r="A247" s="138"/>
      <c r="B247" s="667">
        <v>332</v>
      </c>
      <c r="C247" s="871" t="str">
        <f>IF(Tool!$H$7="Français",G247,IF(Tool!$H$7="Italiano",I247,E247))</f>
        <v>Wird grosses Augenmerk auf die Verwendung von ressourcen- und umweltschonenden Materialien gelegt? (z. B. Auswahl gemäss eco-BKP-Empfehlungen, Ausschreibung nach eco-Devis)</v>
      </c>
      <c r="D247" s="667">
        <f>$B247</f>
        <v>332</v>
      </c>
      <c r="E247" s="562" t="s">
        <v>994</v>
      </c>
      <c r="F247" s="667">
        <f>$B247</f>
        <v>332</v>
      </c>
      <c r="G247" s="563" t="s">
        <v>381</v>
      </c>
      <c r="H247" s="667">
        <f>$B247</f>
        <v>332</v>
      </c>
      <c r="I247" s="563" t="s">
        <v>995</v>
      </c>
      <c r="J247" s="667">
        <f>$B247</f>
        <v>332</v>
      </c>
      <c r="K247" s="564"/>
      <c r="L247" s="565"/>
      <c r="M247" s="565"/>
      <c r="N247" s="565"/>
      <c r="O247" s="565"/>
      <c r="P247" s="566"/>
      <c r="Q247" s="667">
        <f>$B247</f>
        <v>332</v>
      </c>
      <c r="R247" s="564"/>
      <c r="S247" s="565"/>
      <c r="T247" s="565"/>
      <c r="U247" s="565"/>
      <c r="V247" s="572"/>
      <c r="W247" s="568"/>
      <c r="X247" s="667">
        <f>$B247</f>
        <v>332</v>
      </c>
      <c r="Y247" s="564"/>
      <c r="Z247" s="565"/>
      <c r="AA247" s="565"/>
      <c r="AB247" s="565"/>
      <c r="AC247" s="572"/>
      <c r="AD247" s="568"/>
      <c r="AE247" s="138" t="s">
        <v>28</v>
      </c>
      <c r="AF247" s="409"/>
      <c r="AG247" s="769"/>
      <c r="AH247" s="771"/>
      <c r="AI247" s="769"/>
      <c r="AJ247" s="43">
        <f>AJ245/3</f>
        <v>0.33333333333333331</v>
      </c>
      <c r="AK247" s="43">
        <f t="shared" si="44"/>
        <v>9.9999999999999992E-2</v>
      </c>
      <c r="AL247" s="43">
        <v>0</v>
      </c>
      <c r="AM247" s="44"/>
      <c r="AN247" s="44"/>
      <c r="AO247" s="44" t="str">
        <f>IF(Check!S719=$AQ$4,AJ247,IF(Check!S719=$AQ$6,AK247,IF(OR(Check!S719=$AQ$5,AO245=""),AL247,"NB")))</f>
        <v>NB</v>
      </c>
      <c r="AP247" s="981"/>
      <c r="AQ247" s="44"/>
      <c r="AR247" s="44"/>
      <c r="AS247" s="146"/>
      <c r="AT247" s="41"/>
      <c r="AU247" s="41"/>
      <c r="AV247" s="442"/>
      <c r="AW247" s="44"/>
      <c r="AX247" s="41"/>
      <c r="AY247" s="42"/>
      <c r="AZ247" s="41"/>
      <c r="BA247" s="42"/>
      <c r="BB247" s="577"/>
      <c r="BC247" s="582"/>
      <c r="BD247" s="398"/>
      <c r="BE247" s="579"/>
      <c r="BF247" s="577"/>
      <c r="BG247" s="582"/>
      <c r="BH247" s="398"/>
      <c r="BI247" s="579"/>
      <c r="BJ247" s="138"/>
    </row>
    <row r="248" spans="1:62" ht="15" customHeight="1">
      <c r="A248" s="138"/>
      <c r="B248" s="668"/>
      <c r="C248" s="871" t="str">
        <f>IF(Tool!$H$7="Français",G248,IF(Tool!$H$7="Italiano",I248,E248))</f>
        <v>Wird auf die Verwendung von aussereuropäischen Hölzern/Holzprodukten ohne FSC, PEFC oder gleichwertige Label verzichtet?</v>
      </c>
      <c r="D248" s="668"/>
      <c r="E248" s="569" t="s">
        <v>54</v>
      </c>
      <c r="F248" s="668"/>
      <c r="G248" s="563" t="s">
        <v>382</v>
      </c>
      <c r="H248" s="668"/>
      <c r="I248" s="570" t="s">
        <v>998</v>
      </c>
      <c r="J248" s="668"/>
      <c r="K248" s="564"/>
      <c r="L248" s="565"/>
      <c r="M248" s="565"/>
      <c r="N248" s="565"/>
      <c r="O248" s="565"/>
      <c r="P248" s="566"/>
      <c r="Q248" s="668"/>
      <c r="R248" s="564"/>
      <c r="S248" s="565"/>
      <c r="T248" s="565"/>
      <c r="U248" s="565"/>
      <c r="V248" s="572"/>
      <c r="W248" s="568"/>
      <c r="X248" s="668"/>
      <c r="Y248" s="564"/>
      <c r="Z248" s="565"/>
      <c r="AA248" s="565"/>
      <c r="AB248" s="565"/>
      <c r="AC248" s="572"/>
      <c r="AD248" s="568"/>
      <c r="AE248" s="138" t="s">
        <v>28</v>
      </c>
      <c r="AF248" s="335"/>
      <c r="AG248" s="340"/>
      <c r="AH248" s="766"/>
      <c r="AI248" s="340"/>
      <c r="AJ248" s="43">
        <f>AJ245/3</f>
        <v>0.33333333333333331</v>
      </c>
      <c r="AK248" s="43">
        <f t="shared" si="44"/>
        <v>9.9999999999999992E-2</v>
      </c>
      <c r="AL248" s="43">
        <v>0</v>
      </c>
      <c r="AM248" s="44"/>
      <c r="AN248" s="44"/>
      <c r="AO248" s="44" t="str">
        <f>IF(Check!S722=$AQ$4,AJ248,IF(Check!S722=$AQ$6,AK248,IF(OR(Check!S722=$AQ$5,AO245=""),AL248,"NB")))</f>
        <v>NB</v>
      </c>
      <c r="AP248" s="44"/>
      <c r="AQ248" s="44"/>
      <c r="AR248" s="44"/>
      <c r="AS248" s="41"/>
      <c r="AT248" s="41"/>
      <c r="AU248" s="41"/>
      <c r="AV248" s="442"/>
      <c r="AW248" s="44"/>
      <c r="AX248" s="41"/>
      <c r="AY248" s="42"/>
      <c r="AZ248" s="41"/>
      <c r="BA248" s="42"/>
      <c r="BB248" s="577"/>
      <c r="BC248" s="582"/>
      <c r="BD248" s="398"/>
      <c r="BE248" s="579"/>
      <c r="BF248" s="577"/>
      <c r="BG248" s="582"/>
      <c r="BH248" s="398"/>
      <c r="BI248" s="579"/>
      <c r="BJ248" s="138"/>
    </row>
    <row r="249" spans="1:62" ht="15" customHeight="1">
      <c r="A249" s="138"/>
      <c r="B249" s="858"/>
      <c r="C249" s="871" t="str">
        <f>IF(Tool!$H$7="Français",G249,IF(Tool!$H$7="Italiano",I249,E249))</f>
        <v>Wird wo möglich RC-Beton, RC-Material oder RC-Kiessand eingesetzt?</v>
      </c>
      <c r="D249" s="668"/>
      <c r="E249" s="562" t="s">
        <v>24</v>
      </c>
      <c r="F249" s="668"/>
      <c r="G249" s="563" t="s">
        <v>373</v>
      </c>
      <c r="H249" s="668"/>
      <c r="I249" s="563" t="s">
        <v>999</v>
      </c>
      <c r="J249" s="668"/>
      <c r="K249" s="564"/>
      <c r="L249" s="565"/>
      <c r="M249" s="565"/>
      <c r="N249" s="565"/>
      <c r="O249" s="565"/>
      <c r="P249" s="566"/>
      <c r="Q249" s="668"/>
      <c r="R249" s="564"/>
      <c r="S249" s="565"/>
      <c r="T249" s="565"/>
      <c r="U249" s="565"/>
      <c r="V249" s="572"/>
      <c r="W249" s="568"/>
      <c r="X249" s="668"/>
      <c r="Y249" s="564"/>
      <c r="Z249" s="565"/>
      <c r="AA249" s="565"/>
      <c r="AB249" s="565"/>
      <c r="AC249" s="572"/>
      <c r="AD249" s="568"/>
      <c r="AE249" s="138"/>
      <c r="AF249" s="1096">
        <f>AQ48</f>
        <v>313</v>
      </c>
      <c r="AG249" s="1097" t="str">
        <f>AR48</f>
        <v>Treibhausgasemissionen Mobilität</v>
      </c>
      <c r="AH249" s="1098"/>
      <c r="AI249" s="1099"/>
      <c r="AJ249" s="1092">
        <v>1</v>
      </c>
      <c r="AK249" s="1074" t="s">
        <v>46</v>
      </c>
      <c r="AL249" s="1075">
        <v>0</v>
      </c>
      <c r="AM249" s="1076"/>
      <c r="AN249" s="1076"/>
      <c r="AO249" s="1076" t="str">
        <f>IF(Check!S725=$AQ$4,AJ249,IF(OR(Check!S725=$AQ$6,Check!S725=$AS$5,Check!S725=$AS$6),AL249,"NB"))</f>
        <v>NB</v>
      </c>
      <c r="AP249" s="1077" t="str">
        <f>IF(AG$29=AK$4,1,"NB")</f>
        <v>NB</v>
      </c>
      <c r="AQ249" s="1076" t="str">
        <f>IF(AP249=1,1,
IF(AO249=1,1,
IF(COUNTIF(AO250:AO252,"NB"),"NB",
IF(SUM(AO250:AO252)&gt;1,1,
IF(AND(SUM(AO250:AO252)&gt;=0,SUM(AO250:AO252)&lt;=1),SUM(AO250:AO252),"NB")))))</f>
        <v>NB</v>
      </c>
      <c r="AR249" s="1076"/>
      <c r="AS249" s="1078" t="str">
        <f>IF(AQ249="NB","NB",AQ249)</f>
        <v>NB</v>
      </c>
      <c r="AT249" s="1076"/>
      <c r="AU249" s="1076"/>
      <c r="AV249" s="701"/>
      <c r="AW249" s="1492" t="str">
        <f>AS249</f>
        <v>NB</v>
      </c>
      <c r="AX249" s="655"/>
      <c r="AY249" s="1491"/>
      <c r="AZ249" s="37"/>
      <c r="BA249" s="1494" t="str">
        <f>AW249</f>
        <v>NB</v>
      </c>
      <c r="BB249" s="577" t="str">
        <f>IF($AS$249="NB","",
IF($AS$249&gt;=0.85,AF249&amp;" "&amp;AG249&amp;"; ",""))</f>
        <v/>
      </c>
      <c r="BC249" s="582" t="str">
        <f>IF($AS$249="NB","",
IF(AND($AS$249&gt;=0.65,$AS$249&lt;0.85),AF249&amp;" "&amp;AG249&amp;"; ",""))</f>
        <v/>
      </c>
      <c r="BD249" s="398" t="str">
        <f>IF($AS$249="NB","",
IF(AND($AS$249&gt;=0.5,$AS$249&lt;0.65),AF249&amp;" "&amp;AG249&amp;"; ",""))</f>
        <v/>
      </c>
      <c r="BE249" s="579" t="str">
        <f>IF($AS$249="NB","",
IF($AS$249&lt;0.5,AF249&amp;" "&amp;AG249&amp;"; ",""))</f>
        <v/>
      </c>
      <c r="BF249" s="577" t="str">
        <f>IF($AS$249="NB","",
IF($AS$249&gt;=0.85,AF249&amp;" ",""))</f>
        <v/>
      </c>
      <c r="BG249" s="582" t="str">
        <f>IF($AS$249="NB","",
IF(AND($AS$249&gt;=0.65,$AS$249&lt;0.85),AF249&amp;" ",""))</f>
        <v/>
      </c>
      <c r="BH249" s="398" t="str">
        <f>IF($AS$249="NB","",
IF(AND($AS$249&gt;=0.5,$AS$249&lt;0.65),AF249&amp;" ",""))</f>
        <v/>
      </c>
      <c r="BI249" s="579" t="str">
        <f>IF($AS$249="NB","",
IF($AS$249&lt;0.5,AF249&amp;" ",""))</f>
        <v/>
      </c>
      <c r="BJ249" s="138"/>
    </row>
    <row r="250" spans="1:62" ht="15" customHeight="1">
      <c r="A250" s="138"/>
      <c r="B250" s="667"/>
      <c r="C250" s="871" t="str">
        <f>IF(Tool!$H$7="Français",G250,IF(Tool!$H$7="Italiano",I250,E250))</f>
        <v>Wird auf Dämmstoffe mit ungünstigen ökologischen Eigenschaften verzichtet z. B. (bezüglich halogenhaltiger Treibgase und Flammschutzmitteln) bzw. wird der Verzicht im Pflichtenheft formuliert?</v>
      </c>
      <c r="D250" s="667"/>
      <c r="E250" s="562" t="s">
        <v>758</v>
      </c>
      <c r="F250" s="667"/>
      <c r="G250" s="563" t="s">
        <v>506</v>
      </c>
      <c r="H250" s="667"/>
      <c r="I250" s="570" t="s">
        <v>1830</v>
      </c>
      <c r="J250" s="667"/>
      <c r="K250" s="511"/>
      <c r="L250" s="512"/>
      <c r="M250" s="512"/>
      <c r="N250" s="512"/>
      <c r="O250" s="512"/>
      <c r="P250" s="513"/>
      <c r="Q250" s="667"/>
      <c r="R250" s="511"/>
      <c r="S250" s="512"/>
      <c r="T250" s="512"/>
      <c r="U250" s="512"/>
      <c r="V250" s="574"/>
      <c r="W250" s="575"/>
      <c r="X250" s="667"/>
      <c r="Y250" s="511"/>
      <c r="Z250" s="512"/>
      <c r="AA250" s="512"/>
      <c r="AB250" s="512"/>
      <c r="AC250" s="574"/>
      <c r="AD250" s="575"/>
      <c r="AE250" s="138" t="s">
        <v>28</v>
      </c>
      <c r="AF250" s="335"/>
      <c r="AG250" s="778"/>
      <c r="AH250" s="781"/>
      <c r="AI250" s="778"/>
      <c r="AJ250" s="43">
        <f>AJ249/6</f>
        <v>0.16666666666666666</v>
      </c>
      <c r="AK250" s="43">
        <f>AJ250/2</f>
        <v>8.3333333333333329E-2</v>
      </c>
      <c r="AL250" s="43">
        <v>0</v>
      </c>
      <c r="AM250" s="43">
        <f>1/3</f>
        <v>0.33333333333333331</v>
      </c>
      <c r="AN250" s="44"/>
      <c r="AO250" s="1225" t="str">
        <f>IF(OR(AG$28=0,AG$29=0,AO249="NB",AO249=""),"NB",(IF(AND(OR(AG$28=$AJ$4,AG$28=$AJ$5),AG$29=AK$5),AJ250,IF(AND(OR(AG$28=$AJ$4,AG$28=$AJ$5),AG$29=AK$6),AK250,IF(AND(OR(AG$28=$AJ$6),AG$29=AK$5),AM250,IF(AND(OR(AG$28=$AJ$6),AG$29=AK$6),AJ250,IF(AND(OR(AG$28=$AJ$6),AG$29=AK$7),AK250,AL250)))))))</f>
        <v>NB</v>
      </c>
      <c r="AP250" s="11"/>
      <c r="AQ250" s="11"/>
      <c r="AR250" s="399"/>
      <c r="AS250" s="400"/>
      <c r="AT250" s="49"/>
      <c r="AU250" s="49"/>
      <c r="AV250" s="442"/>
      <c r="AW250" s="44"/>
      <c r="AX250" s="1"/>
      <c r="AY250" s="38"/>
      <c r="AZ250" s="1"/>
      <c r="BA250" s="38"/>
      <c r="BB250" s="577"/>
      <c r="BC250" s="582"/>
      <c r="BD250" s="398"/>
      <c r="BE250" s="579"/>
      <c r="BF250" s="577"/>
      <c r="BG250" s="582"/>
      <c r="BH250" s="398"/>
      <c r="BI250" s="579"/>
      <c r="BJ250" s="138"/>
    </row>
    <row r="251" spans="1:62" ht="15" customHeight="1">
      <c r="A251" s="138"/>
      <c r="B251" s="667"/>
      <c r="C251" s="871" t="str">
        <f>IF(Tool!$H$7="Français",G251,IF(Tool!$H$7="Italiano",I251,E251))</f>
        <v>Wird auf die Verwendung von Montage- oder Füllschäumen verzichtet?</v>
      </c>
      <c r="D251" s="667"/>
      <c r="E251" s="562" t="s">
        <v>996</v>
      </c>
      <c r="F251" s="667"/>
      <c r="G251" s="563" t="s">
        <v>997</v>
      </c>
      <c r="H251" s="667"/>
      <c r="I251" s="563" t="s">
        <v>1831</v>
      </c>
      <c r="J251" s="667"/>
      <c r="K251" s="564"/>
      <c r="L251" s="565"/>
      <c r="M251" s="565"/>
      <c r="N251" s="565"/>
      <c r="O251" s="565"/>
      <c r="P251" s="566"/>
      <c r="Q251" s="667"/>
      <c r="R251" s="564"/>
      <c r="S251" s="565"/>
      <c r="T251" s="565"/>
      <c r="U251" s="565"/>
      <c r="V251" s="572"/>
      <c r="W251" s="568"/>
      <c r="X251" s="667"/>
      <c r="Y251" s="564"/>
      <c r="Z251" s="565"/>
      <c r="AA251" s="565"/>
      <c r="AB251" s="565"/>
      <c r="AC251" s="572"/>
      <c r="AD251" s="568"/>
      <c r="AE251" s="138" t="s">
        <v>28</v>
      </c>
      <c r="AF251" s="335"/>
      <c r="AG251" s="778"/>
      <c r="AH251" s="781"/>
      <c r="AI251" s="778"/>
      <c r="AJ251" s="43">
        <f>AJ249/3</f>
        <v>0.33333333333333331</v>
      </c>
      <c r="AK251" s="43">
        <f t="shared" ref="AK251:AK252" si="45">AJ251*0.3</f>
        <v>9.9999999999999992E-2</v>
      </c>
      <c r="AL251" s="43">
        <v>0</v>
      </c>
      <c r="AM251" s="44"/>
      <c r="AN251" s="44"/>
      <c r="AO251" s="44" t="str">
        <f>IF(Check!S731=$AQ$4,AJ251,IF(Check!S731=$AQ$6,AK251,IF(OR(Check!S731=$AQ$5,AO249=""),AL251,"NB")))</f>
        <v>NB</v>
      </c>
      <c r="AP251" s="11"/>
      <c r="AQ251" s="11"/>
      <c r="AR251" s="399"/>
      <c r="AS251" s="400"/>
      <c r="AT251" s="49"/>
      <c r="AU251" s="49"/>
      <c r="AV251" s="442"/>
      <c r="AW251" s="44"/>
      <c r="AX251" s="1"/>
      <c r="AY251" s="38"/>
      <c r="AZ251" s="1"/>
      <c r="BA251" s="38"/>
      <c r="BB251" s="577"/>
      <c r="BC251" s="582"/>
      <c r="BD251" s="398"/>
      <c r="BE251" s="579"/>
      <c r="BF251" s="577"/>
      <c r="BG251" s="582"/>
      <c r="BH251" s="398"/>
      <c r="BI251" s="579"/>
      <c r="BJ251" s="138"/>
    </row>
    <row r="252" spans="1:62" ht="15" customHeight="1">
      <c r="A252" s="138"/>
      <c r="B252" s="667">
        <v>333</v>
      </c>
      <c r="C252" s="871" t="str">
        <f>IF(Tool!$H$7="Français",G252,IF(Tool!$H$7="Italiano",I252,E252))</f>
        <v>Wird eine langfristig und effizient funktionierende Bau- und Gebäudetechnik mit einer expliziten Funktionsprüfung bei Inbetriebnahme und einer energetischen Betriebsoptimierung nach Gebäudeübergabe gewährleistet?</v>
      </c>
      <c r="D252" s="667">
        <f>$B252</f>
        <v>333</v>
      </c>
      <c r="E252" s="562" t="s">
        <v>335</v>
      </c>
      <c r="F252" s="667">
        <f>$B252</f>
        <v>333</v>
      </c>
      <c r="G252" s="563" t="s">
        <v>349</v>
      </c>
      <c r="H252" s="667">
        <f>$B252</f>
        <v>333</v>
      </c>
      <c r="I252" s="563" t="s">
        <v>1832</v>
      </c>
      <c r="J252" s="667">
        <f>$B252</f>
        <v>333</v>
      </c>
      <c r="K252" s="564"/>
      <c r="L252" s="565"/>
      <c r="M252" s="565"/>
      <c r="N252" s="565"/>
      <c r="O252" s="565"/>
      <c r="P252" s="566"/>
      <c r="Q252" s="667">
        <f>$B252</f>
        <v>333</v>
      </c>
      <c r="R252" s="564"/>
      <c r="S252" s="565"/>
      <c r="T252" s="565"/>
      <c r="U252" s="565"/>
      <c r="V252" s="572"/>
      <c r="W252" s="568"/>
      <c r="X252" s="667">
        <f>$B252</f>
        <v>333</v>
      </c>
      <c r="Y252" s="564"/>
      <c r="Z252" s="565"/>
      <c r="AA252" s="565"/>
      <c r="AB252" s="565"/>
      <c r="AC252" s="572"/>
      <c r="AD252" s="568"/>
      <c r="AE252" s="138" t="s">
        <v>28</v>
      </c>
      <c r="AF252" s="336"/>
      <c r="AG252" s="779"/>
      <c r="AH252" s="782"/>
      <c r="AI252" s="779"/>
      <c r="AJ252" s="406">
        <f>AJ249/3</f>
        <v>0.33333333333333331</v>
      </c>
      <c r="AK252" s="406">
        <f t="shared" si="45"/>
        <v>9.9999999999999992E-2</v>
      </c>
      <c r="AL252" s="406">
        <v>0</v>
      </c>
      <c r="AM252" s="39"/>
      <c r="AN252" s="39"/>
      <c r="AO252" s="39" t="str">
        <f>IF(Check!S734=$AQ$4,AJ252,IF(Check!S734=$AQ$6,AK252,IF(OR(Check!S734=$AQ$5,AO249=""),AL252,"NB")))</f>
        <v>NB</v>
      </c>
      <c r="AP252" s="117"/>
      <c r="AQ252" s="117"/>
      <c r="AR252" s="117"/>
      <c r="AS252" s="118"/>
      <c r="AT252" s="118"/>
      <c r="AU252" s="118"/>
      <c r="AV252" s="443"/>
      <c r="AW252" s="39"/>
      <c r="AX252" s="447"/>
      <c r="AY252" s="444"/>
      <c r="AZ252" s="447"/>
      <c r="BA252" s="444"/>
      <c r="BB252" s="703"/>
      <c r="BC252" s="583"/>
      <c r="BD252" s="408"/>
      <c r="BE252" s="580"/>
      <c r="BF252" s="703"/>
      <c r="BG252" s="583"/>
      <c r="BH252" s="408"/>
      <c r="BI252" s="580"/>
      <c r="BJ252" s="138"/>
    </row>
    <row r="253" spans="1:62" ht="15" customHeight="1">
      <c r="A253" s="138"/>
      <c r="B253" s="667"/>
      <c r="C253" s="871" t="str">
        <f>IF(Tool!$H$7="Français",G253,IF(Tool!$H$7="Italiano",I253,E253))</f>
        <v>Wird eine systematische Funktionsprüfung sämtlicher Gebäudetechniksysteme vor Inbetriebnahme durchgeführt und entsprechend dokumentiert?</v>
      </c>
      <c r="D253" s="667"/>
      <c r="E253" s="562" t="s">
        <v>156</v>
      </c>
      <c r="F253" s="667"/>
      <c r="G253" s="563" t="s">
        <v>243</v>
      </c>
      <c r="H253" s="667"/>
      <c r="I253" s="563" t="s">
        <v>1833</v>
      </c>
      <c r="J253" s="667"/>
      <c r="K253" s="564"/>
      <c r="L253" s="565"/>
      <c r="M253" s="565"/>
      <c r="N253" s="565"/>
      <c r="O253" s="565"/>
      <c r="P253" s="566"/>
      <c r="Q253" s="667"/>
      <c r="R253" s="564"/>
      <c r="S253" s="565"/>
      <c r="T253" s="565"/>
      <c r="U253" s="565"/>
      <c r="V253" s="572"/>
      <c r="W253" s="568"/>
      <c r="X253" s="667"/>
      <c r="Y253" s="564"/>
      <c r="Z253" s="565"/>
      <c r="AA253" s="565"/>
      <c r="AB253" s="565"/>
      <c r="AC253" s="572"/>
      <c r="AD253" s="568"/>
      <c r="AE253" s="138" t="s">
        <v>28</v>
      </c>
      <c r="AF253" s="815">
        <f>AQ51</f>
        <v>331</v>
      </c>
      <c r="AG253" s="1089" t="str">
        <f>AR51</f>
        <v>Baustelle</v>
      </c>
      <c r="AH253" s="1102"/>
      <c r="AI253" s="1089"/>
      <c r="AJ253" s="1103">
        <v>1</v>
      </c>
      <c r="AK253" s="1103" t="s">
        <v>46</v>
      </c>
      <c r="AL253" s="1104">
        <v>0</v>
      </c>
      <c r="AM253" s="1076"/>
      <c r="AN253" s="1076"/>
      <c r="AO253" s="1076" t="str">
        <f>IF(Check!S744=$AQ$4,AJ253,IF(OR(Check!S744=$AQ$6,Check!S744=$AQ$5),AL253,"NB"))</f>
        <v>NB</v>
      </c>
      <c r="AP253" s="1076" t="str">
        <f>IF(AG$41=AQ$4,1,"NB")</f>
        <v>NB</v>
      </c>
      <c r="AQ253" s="1076" t="str">
        <f>IF(AP253=1,1,
IF(AO253=1,1,
IF(COUNTIF(AO254:AO257,"NB"),"NB",
IF(SUM(AO254:AO257)&gt;1,1,
IF(AND(SUM(AO254:AO257)&gt;=0,SUM(AO254:AO257)&lt;=1),SUM(AO254:AO257),"NB")))))</f>
        <v>NB</v>
      </c>
      <c r="AR253" s="1076"/>
      <c r="AS253" s="1078" t="str">
        <f>IF(AQ253="NB","NB",AQ253)</f>
        <v>NB</v>
      </c>
      <c r="AT253" s="1091" t="str">
        <f>IF(AND(AS253="NB",AS258="NB",AS263="NB",AS267="NB",AS275="NB",AS281="NB"),"NB",SUM(AS253:AS284)/6)</f>
        <v>NB</v>
      </c>
      <c r="AU253" s="1079"/>
      <c r="AV253" s="1045"/>
      <c r="AW253" s="1486"/>
      <c r="AX253" s="1048" t="str">
        <f>IF(AND(AW258="NB",AW267="NB",AW271="NB",AW275="NB",AW281="NB"),"NB",SUM(AW253:AW285)/5)</f>
        <v>NB</v>
      </c>
      <c r="AY253" s="1011"/>
      <c r="AZ253" s="1048"/>
      <c r="BA253" s="1011"/>
      <c r="BB253" s="577" t="str">
        <f>IF($AS$253="NB","",
IF($AS$253&gt;=0.85,AF253&amp;" "&amp;AG253&amp;"; ",""))</f>
        <v/>
      </c>
      <c r="BC253" s="582" t="str">
        <f>IF($AS$253="NB","",
IF(AND($AS$253&gt;=0.65,$AS$253&lt;0.85),AF253&amp;" "&amp;AG253&amp;"; ",""))</f>
        <v/>
      </c>
      <c r="BD253" s="398" t="str">
        <f>IF($AS$253="NB","",
IF(AND($AS$253&gt;=0.5,$AS$253&lt;0.65),AF253&amp;" "&amp;AG253&amp;"; ",""))</f>
        <v/>
      </c>
      <c r="BE253" s="579" t="str">
        <f>IF($AS$253="NB","",
IF($AS$253&lt;0.5,AF253&amp;" "&amp;AG253&amp;"; ",""))</f>
        <v/>
      </c>
      <c r="BF253" s="577" t="str">
        <f>IF($AS$253="NB","",
IF($AS$253&gt;=0.85,AF253&amp;" ",""))</f>
        <v/>
      </c>
      <c r="BG253" s="582" t="str">
        <f>IF($AS$253="NB","",
IF(AND($AS$253&gt;=0.65,$AS$253&lt;0.85),AF253&amp;" ",""))</f>
        <v/>
      </c>
      <c r="BH253" s="398" t="str">
        <f>IF($AS$253="NB","",
IF(AND($AS$253&gt;=0.5,$AS$253&lt;0.65),AF253&amp;" ",""))</f>
        <v/>
      </c>
      <c r="BI253" s="579" t="str">
        <f>IF($AS$253="NB","",
IF($AS$253&lt;0.5,AF253&amp;" ",""))</f>
        <v/>
      </c>
      <c r="BJ253" s="138"/>
    </row>
    <row r="254" spans="1:62" ht="15" customHeight="1">
      <c r="A254" s="138"/>
      <c r="B254" s="667"/>
      <c r="C254" s="871" t="str">
        <f>IF(Tool!$H$7="Français",G254,IF(Tool!$H$7="Italiano",I254,E254))</f>
        <v>Wird die systematische Inbetriebnahme der Gebäudetechniksysteme, inklusive Einregulierung und Nachjustierung, im Terminplan von Anfang an vorgesehen?</v>
      </c>
      <c r="D254" s="667"/>
      <c r="E254" s="569" t="s">
        <v>1000</v>
      </c>
      <c r="F254" s="667"/>
      <c r="G254" s="563" t="s">
        <v>1001</v>
      </c>
      <c r="H254" s="667"/>
      <c r="I254" s="570" t="s">
        <v>1834</v>
      </c>
      <c r="J254" s="667"/>
      <c r="K254" s="564"/>
      <c r="L254" s="565"/>
      <c r="M254" s="565"/>
      <c r="N254" s="565"/>
      <c r="O254" s="565"/>
      <c r="P254" s="566"/>
      <c r="Q254" s="667"/>
      <c r="R254" s="564"/>
      <c r="S254" s="565"/>
      <c r="T254" s="565"/>
      <c r="U254" s="565"/>
      <c r="V254" s="572"/>
      <c r="W254" s="568"/>
      <c r="X254" s="667"/>
      <c r="Y254" s="564"/>
      <c r="Z254" s="565"/>
      <c r="AA254" s="565"/>
      <c r="AB254" s="565"/>
      <c r="AC254" s="572"/>
      <c r="AD254" s="568"/>
      <c r="AE254" s="138" t="s">
        <v>28</v>
      </c>
      <c r="AF254" s="335"/>
      <c r="AG254" s="340"/>
      <c r="AH254" s="766"/>
      <c r="AI254" s="340"/>
      <c r="AJ254" s="397">
        <v>0.25</v>
      </c>
      <c r="AK254" s="43">
        <f t="shared" ref="AK254:AK257" si="46">AJ254*0.3</f>
        <v>7.4999999999999997E-2</v>
      </c>
      <c r="AL254" s="43">
        <v>0</v>
      </c>
      <c r="AM254" s="44"/>
      <c r="AN254" s="44"/>
      <c r="AO254" s="44" t="str">
        <f>IF(Check!S747=$AQ$4,AJ254,IF(Check!S747=$AQ$6,AK254,IF(OR(Check!S747=$AQ$5,AO253=""),AL254,"NB")))</f>
        <v>NB</v>
      </c>
      <c r="AP254" s="44"/>
      <c r="AQ254" s="44"/>
      <c r="AR254" s="44"/>
      <c r="AS254" s="41"/>
      <c r="AT254" s="41"/>
      <c r="AU254" s="41"/>
      <c r="AV254" s="442"/>
      <c r="AW254" s="44"/>
      <c r="AX254" s="41" t="s">
        <v>1634</v>
      </c>
      <c r="AY254" s="1496" t="str">
        <f>AZ271</f>
        <v>NB</v>
      </c>
      <c r="AZ254" s="41"/>
      <c r="BA254" s="38"/>
      <c r="BB254" s="577"/>
      <c r="BC254" s="582"/>
      <c r="BD254" s="398"/>
      <c r="BE254" s="579"/>
      <c r="BF254" s="577"/>
      <c r="BG254" s="582"/>
      <c r="BH254" s="398"/>
      <c r="BI254" s="579"/>
      <c r="BJ254" s="138"/>
    </row>
    <row r="255" spans="1:62" ht="15" customHeight="1">
      <c r="A255" s="138"/>
      <c r="B255" s="667"/>
      <c r="C255" s="871" t="str">
        <f>IF(Tool!$H$7="Français",G255,IF(Tool!$H$7="Italiano",I255,E255))</f>
        <v>Ist eine energetische Betriebsoptimierung unmittelbar nach Übergabe (eBO*) vorgesehen?</v>
      </c>
      <c r="D255" s="667"/>
      <c r="E255" s="562" t="s">
        <v>1957</v>
      </c>
      <c r="F255" s="667"/>
      <c r="G255" s="563" t="s">
        <v>1958</v>
      </c>
      <c r="H255" s="667"/>
      <c r="I255" s="563" t="s">
        <v>1959</v>
      </c>
      <c r="J255" s="667"/>
      <c r="K255" s="564"/>
      <c r="L255" s="565"/>
      <c r="M255" s="565"/>
      <c r="N255" s="565"/>
      <c r="O255" s="565"/>
      <c r="P255" s="566"/>
      <c r="Q255" s="667"/>
      <c r="R255" s="564"/>
      <c r="S255" s="565"/>
      <c r="T255" s="565"/>
      <c r="U255" s="565"/>
      <c r="V255" s="572"/>
      <c r="W255" s="568"/>
      <c r="X255" s="667"/>
      <c r="Y255" s="564"/>
      <c r="Z255" s="565"/>
      <c r="AA255" s="565"/>
      <c r="AB255" s="565"/>
      <c r="AC255" s="572"/>
      <c r="AD255" s="568"/>
      <c r="AE255" s="138" t="s">
        <v>28</v>
      </c>
      <c r="AF255" s="409"/>
      <c r="AG255" s="769"/>
      <c r="AH255" s="442"/>
      <c r="AI255" s="38"/>
      <c r="AJ255" s="43">
        <v>0.25</v>
      </c>
      <c r="AK255" s="43">
        <f t="shared" si="46"/>
        <v>7.4999999999999997E-2</v>
      </c>
      <c r="AL255" s="43">
        <v>0</v>
      </c>
      <c r="AM255" s="44"/>
      <c r="AN255" s="44"/>
      <c r="AO255" s="44" t="str">
        <f>IF(Check!S750=$AQ$4,AJ255,IF(Check!S750=$AQ$6,AK255,IF(OR(Check!S750=$AQ$5,AO253=""),AL255,"NB")))</f>
        <v>NB</v>
      </c>
      <c r="AP255" s="981"/>
      <c r="AQ255" s="44"/>
      <c r="AR255" s="44"/>
      <c r="AS255" s="146"/>
      <c r="AT255" s="1"/>
      <c r="AU255" s="1"/>
      <c r="AV255" s="442"/>
      <c r="AW255" s="44"/>
      <c r="AX255" s="41" t="s">
        <v>1635</v>
      </c>
      <c r="AY255" s="38" t="str">
        <f>IF(AND(BA258="NB",BA267="NB",BA275="NB",BA281="NB"),"NB",SUM(BA253:BA284)/4)</f>
        <v>NB</v>
      </c>
      <c r="AZ255" s="1"/>
      <c r="BA255" s="38"/>
      <c r="BB255" s="577"/>
      <c r="BC255" s="582"/>
      <c r="BD255" s="398"/>
      <c r="BE255" s="579"/>
      <c r="BF255" s="577"/>
      <c r="BG255" s="582"/>
      <c r="BH255" s="398"/>
      <c r="BI255" s="579"/>
      <c r="BJ255" s="138"/>
    </row>
    <row r="256" spans="1:62" ht="15" customHeight="1">
      <c r="A256" s="138"/>
      <c r="B256" s="667">
        <v>334</v>
      </c>
      <c r="C256" s="871" t="str">
        <f>IF(Tool!$H$7="Français",G256,IF(Tool!$H$7="Italiano",I256,E256))</f>
        <v>Wird ein ausführliches Messkonzept für ein langfristiges Energiemonitoring erstellt, mit Installation der Messeinrichtung, Auswertung und Darstellung der Ergebnisse?</v>
      </c>
      <c r="D256" s="667"/>
      <c r="E256" s="562" t="s">
        <v>157</v>
      </c>
      <c r="F256" s="667"/>
      <c r="G256" s="563" t="s">
        <v>1002</v>
      </c>
      <c r="H256" s="667"/>
      <c r="I256" s="562" t="s">
        <v>1835</v>
      </c>
      <c r="J256" s="667"/>
      <c r="K256" s="564"/>
      <c r="L256" s="565"/>
      <c r="M256" s="565"/>
      <c r="N256" s="565"/>
      <c r="O256" s="565"/>
      <c r="P256" s="566"/>
      <c r="Q256" s="667"/>
      <c r="R256" s="564"/>
      <c r="S256" s="565"/>
      <c r="T256" s="565"/>
      <c r="U256" s="565"/>
      <c r="V256" s="572"/>
      <c r="W256" s="568"/>
      <c r="X256" s="667"/>
      <c r="Y256" s="564"/>
      <c r="Z256" s="565"/>
      <c r="AA256" s="565"/>
      <c r="AB256" s="565"/>
      <c r="AC256" s="572"/>
      <c r="AD256" s="568"/>
      <c r="AE256" s="138" t="s">
        <v>28</v>
      </c>
      <c r="AF256" s="335"/>
      <c r="AG256" s="340"/>
      <c r="AH256" s="766"/>
      <c r="AI256" s="340"/>
      <c r="AJ256" s="43">
        <v>0.25</v>
      </c>
      <c r="AK256" s="43">
        <f t="shared" si="46"/>
        <v>7.4999999999999997E-2</v>
      </c>
      <c r="AL256" s="43">
        <v>0</v>
      </c>
      <c r="AM256" s="44"/>
      <c r="AN256" s="44"/>
      <c r="AO256" s="44" t="str">
        <f>IF(Check!S753=$AQ$4,AJ256,IF(Check!S753=$AQ$6,AK256,IF(OR(Check!S753=$AQ$5,AO253=""),AL256,"NB")))</f>
        <v>NB</v>
      </c>
      <c r="AP256" s="44"/>
      <c r="AQ256" s="44"/>
      <c r="AR256" s="44"/>
      <c r="AS256" s="41"/>
      <c r="AT256" s="41"/>
      <c r="AU256" s="41"/>
      <c r="AV256" s="442"/>
      <c r="AW256" s="44"/>
      <c r="AX256" s="41" t="s">
        <v>1647</v>
      </c>
      <c r="AY256" s="38" t="str">
        <f>IF(AND(BA258="NB",BA267="NB",BA275="NB",BA281="NB"),"NB",SUM(BA253:BA281)/4)</f>
        <v>NB</v>
      </c>
      <c r="AZ256" s="1"/>
      <c r="BA256" s="38"/>
      <c r="BB256" s="577"/>
      <c r="BC256" s="582"/>
      <c r="BD256" s="398"/>
      <c r="BE256" s="579"/>
      <c r="BF256" s="577"/>
      <c r="BG256" s="582"/>
      <c r="BH256" s="398"/>
      <c r="BI256" s="579"/>
      <c r="BJ256" s="138"/>
    </row>
    <row r="257" spans="1:62" ht="15" customHeight="1">
      <c r="A257" s="138"/>
      <c r="B257" s="667"/>
      <c r="C257" s="871" t="str">
        <f>IF(Tool!$H$7="Français",G257,IF(Tool!$H$7="Italiano",I257,E257))</f>
        <v>Besteht ein Konzept zum Energiemonitoring und werden dementsprechende Messeinrichtungen installiert bzw. wird die Messeinrichtung im Pflichtenheft vorgegeben?</v>
      </c>
      <c r="D257" s="667"/>
      <c r="E257" s="562" t="s">
        <v>496</v>
      </c>
      <c r="F257" s="667"/>
      <c r="G257" s="563" t="s">
        <v>280</v>
      </c>
      <c r="H257" s="667"/>
      <c r="I257" s="562" t="s">
        <v>1836</v>
      </c>
      <c r="J257" s="667"/>
      <c r="K257" s="564"/>
      <c r="L257" s="565"/>
      <c r="M257" s="565"/>
      <c r="N257" s="565"/>
      <c r="O257" s="565"/>
      <c r="P257" s="566"/>
      <c r="Q257" s="667"/>
      <c r="R257" s="564"/>
      <c r="S257" s="565"/>
      <c r="T257" s="565"/>
      <c r="U257" s="565"/>
      <c r="V257" s="572"/>
      <c r="W257" s="568"/>
      <c r="X257" s="667"/>
      <c r="Y257" s="564"/>
      <c r="Z257" s="565"/>
      <c r="AA257" s="565"/>
      <c r="AB257" s="565"/>
      <c r="AC257" s="572"/>
      <c r="AD257" s="568"/>
      <c r="AE257" s="138" t="s">
        <v>28</v>
      </c>
      <c r="AF257" s="335"/>
      <c r="AG257" s="340"/>
      <c r="AH257" s="766"/>
      <c r="AI257" s="340"/>
      <c r="AJ257" s="1055">
        <v>0.25</v>
      </c>
      <c r="AK257" s="43">
        <f t="shared" si="46"/>
        <v>7.4999999999999997E-2</v>
      </c>
      <c r="AL257" s="43">
        <v>0</v>
      </c>
      <c r="AM257" s="44"/>
      <c r="AN257" s="44"/>
      <c r="AO257" s="44" t="str">
        <f>IF(Check!S756=$AQ$4,AJ257,IF(Check!S756=$AQ$6,AK257,IF(OR(Check!S756=$AQ$5,AO253=""),AL257,"NB")))</f>
        <v>NB</v>
      </c>
      <c r="AP257" s="44"/>
      <c r="AQ257" s="44"/>
      <c r="AR257" s="44"/>
      <c r="AS257" s="41"/>
      <c r="AT257" s="41"/>
      <c r="AU257" s="41"/>
      <c r="AV257" s="442"/>
      <c r="AW257" s="44"/>
      <c r="AX257" s="1"/>
      <c r="AY257" s="38"/>
      <c r="AZ257" s="1"/>
      <c r="BA257" s="38"/>
      <c r="BB257" s="577"/>
      <c r="BC257" s="582"/>
      <c r="BD257" s="398"/>
      <c r="BE257" s="579"/>
      <c r="BF257" s="577"/>
      <c r="BG257" s="582"/>
      <c r="BH257" s="398"/>
      <c r="BI257" s="579"/>
      <c r="BJ257" s="138"/>
    </row>
    <row r="258" spans="1:62" ht="15" customHeight="1">
      <c r="A258" s="138"/>
      <c r="B258" s="668"/>
      <c r="C258" s="871" t="str">
        <f>IF(Tool!$H$7="Français",G258,IF(Tool!$H$7="Italiano",I258,E258))</f>
        <v>Ist eine langfristige Ablesung, Speicherung und Verarbeitung der Messergebnisse geplant bzw. gewährleistet?</v>
      </c>
      <c r="D258" s="668"/>
      <c r="E258" s="562" t="s">
        <v>497</v>
      </c>
      <c r="F258" s="668"/>
      <c r="G258" s="563" t="s">
        <v>1856</v>
      </c>
      <c r="H258" s="668"/>
      <c r="I258" s="562" t="s">
        <v>1003</v>
      </c>
      <c r="J258" s="668"/>
      <c r="K258" s="564"/>
      <c r="L258" s="565"/>
      <c r="M258" s="565"/>
      <c r="N258" s="565"/>
      <c r="O258" s="565"/>
      <c r="P258" s="566"/>
      <c r="Q258" s="668"/>
      <c r="R258" s="564"/>
      <c r="S258" s="565"/>
      <c r="T258" s="565"/>
      <c r="U258" s="565"/>
      <c r="V258" s="572"/>
      <c r="W258" s="568"/>
      <c r="X258" s="668"/>
      <c r="Y258" s="564"/>
      <c r="Z258" s="565"/>
      <c r="AA258" s="565"/>
      <c r="AB258" s="565"/>
      <c r="AC258" s="572"/>
      <c r="AD258" s="568"/>
      <c r="AE258" s="138" t="s">
        <v>28</v>
      </c>
      <c r="AF258" s="815">
        <f>AQ52</f>
        <v>332</v>
      </c>
      <c r="AG258" s="1089" t="str">
        <f>AR52</f>
        <v>Ökologische Baustoffe</v>
      </c>
      <c r="AH258" s="1102"/>
      <c r="AI258" s="1089"/>
      <c r="AJ258" s="1103">
        <v>1</v>
      </c>
      <c r="AK258" s="1103" t="s">
        <v>46</v>
      </c>
      <c r="AL258" s="1104">
        <v>0</v>
      </c>
      <c r="AM258" s="1076"/>
      <c r="AN258" s="1076"/>
      <c r="AO258" s="1076" t="str">
        <f>IF(Check!S759=$AQ$4,AJ258,IF(OR(Check!S759=$AQ$6,Check!S759=$AQ$5),AL258,"NB"))</f>
        <v>NB</v>
      </c>
      <c r="AP258" s="1076" t="str">
        <f>IF(OR(AG$40=AQ$4,AG$41=AQ$4),1,"NB")</f>
        <v>NB</v>
      </c>
      <c r="AQ258" s="1076" t="str">
        <f>IF(AP258=1,1,
IF(AO258=1,1,
IF(COUNTIF(AO259:AO262,"NB"),"NB",
IF(SUM(AO259:AO262)&gt;1,1,
IF(AND(SUM(AO259:AO262)&gt;=0,SUM(AO259:AO262)&lt;=1),SUM(AO259:AO262),"NB")))))</f>
        <v>NB</v>
      </c>
      <c r="AR258" s="1076"/>
      <c r="AS258" s="1078" t="str">
        <f>IF(AQ258="NB","NB",AQ258)</f>
        <v>NB</v>
      </c>
      <c r="AT258" s="1079"/>
      <c r="AU258" s="1079"/>
      <c r="AV258" s="701"/>
      <c r="AW258" s="655" t="str">
        <f>AS258</f>
        <v>NB</v>
      </c>
      <c r="AX258" s="700"/>
      <c r="AY258" s="1493"/>
      <c r="AZ258" s="37"/>
      <c r="BA258" s="1494" t="str">
        <f>AW258</f>
        <v>NB</v>
      </c>
      <c r="BB258" s="577" t="str">
        <f>IF($AS$258="NB","",
IF($AS$258&gt;=0.85,AF258&amp;" "&amp;AG258&amp;"; ",""))</f>
        <v/>
      </c>
      <c r="BC258" s="582" t="str">
        <f>IF($AS$258="NB","",
IF(AND($AS$258&gt;=0.65,$AS$258&lt;0.85),AF258&amp;" "&amp;AG258&amp;"; ",""))</f>
        <v/>
      </c>
      <c r="BD258" s="398" t="str">
        <f>IF($AS$258="NB","",
IF(AND($AS$258&gt;=0.5,$AS$258&lt;0.65),AF258&amp;" "&amp;AG258&amp;"; ",""))</f>
        <v/>
      </c>
      <c r="BE258" s="579" t="str">
        <f>IF($AS$258="NB","",
IF($AS$258&lt;0.5,AF258&amp;" "&amp;AG258&amp;"; ",""))</f>
        <v/>
      </c>
      <c r="BF258" s="577" t="str">
        <f>IF($AS$258="NB","",
IF($AS$258&gt;=0.85,AF258&amp;" ",""))</f>
        <v/>
      </c>
      <c r="BG258" s="582" t="str">
        <f>IF($AS$258="NB","",
IF(AND($AS$258&gt;=0.65,$AS$258&lt;0.85),AF258&amp;" ",""))</f>
        <v/>
      </c>
      <c r="BH258" s="398" t="str">
        <f>IF($AS$258="NB","",
IF(AND($AS$258&gt;=0.5,$AS$258&lt;0.65),AF258&amp;" ",""))</f>
        <v/>
      </c>
      <c r="BI258" s="579" t="str">
        <f>IF($AS$258="NB","",
IF($AS$258&lt;0.5,AF258&amp;" ",""))</f>
        <v/>
      </c>
      <c r="BJ258" s="138"/>
    </row>
    <row r="259" spans="1:62" ht="15" customHeight="1">
      <c r="A259" s="138"/>
      <c r="B259" s="668"/>
      <c r="C259" s="871" t="str">
        <f>IF(Tool!$H$7="Français",G259,IF(Tool!$H$7="Italiano",I259,E259))</f>
        <v>Sind die Zuständigkeiten zur langfristigen Auswertung und Darstellung der Messergebnisse geregelt?</v>
      </c>
      <c r="D259" s="668"/>
      <c r="E259" s="562" t="s">
        <v>158</v>
      </c>
      <c r="F259" s="668"/>
      <c r="G259" s="563" t="s">
        <v>281</v>
      </c>
      <c r="H259" s="668"/>
      <c r="I259" s="562" t="s">
        <v>1004</v>
      </c>
      <c r="J259" s="668"/>
      <c r="K259" s="564"/>
      <c r="L259" s="565"/>
      <c r="M259" s="565"/>
      <c r="N259" s="565"/>
      <c r="O259" s="565"/>
      <c r="P259" s="566"/>
      <c r="Q259" s="668"/>
      <c r="R259" s="564"/>
      <c r="S259" s="565"/>
      <c r="T259" s="565"/>
      <c r="U259" s="565"/>
      <c r="V259" s="572"/>
      <c r="W259" s="568"/>
      <c r="X259" s="668"/>
      <c r="Y259" s="564"/>
      <c r="Z259" s="565"/>
      <c r="AA259" s="565"/>
      <c r="AB259" s="565"/>
      <c r="AC259" s="572"/>
      <c r="AD259" s="568"/>
      <c r="AE259" s="138" t="s">
        <v>28</v>
      </c>
      <c r="AF259" s="335"/>
      <c r="AG259" s="340"/>
      <c r="AH259" s="766"/>
      <c r="AI259" s="340"/>
      <c r="AJ259" s="397">
        <v>0.25</v>
      </c>
      <c r="AK259" s="43">
        <f t="shared" ref="AK259:AK262" si="47">AJ259*0.3</f>
        <v>7.4999999999999997E-2</v>
      </c>
      <c r="AL259" s="43">
        <v>0</v>
      </c>
      <c r="AM259" s="44"/>
      <c r="AN259" s="44"/>
      <c r="AO259" s="44" t="str">
        <f>IF(Check!S762=$AQ$4,AJ259,IF(Check!S762=$AQ$6,AK259,IF(OR(Check!S762=$AQ$5,AO258=""),AL259,"NB")))</f>
        <v>NB</v>
      </c>
      <c r="AP259" s="44"/>
      <c r="AQ259" s="44"/>
      <c r="AR259" s="44"/>
      <c r="AS259" s="41"/>
      <c r="AT259" s="41"/>
      <c r="AU259" s="41"/>
      <c r="AV259" s="442"/>
      <c r="AW259" s="44"/>
      <c r="AX259" s="41"/>
      <c r="AY259" s="38"/>
      <c r="AZ259" s="41"/>
      <c r="BA259" s="38"/>
      <c r="BB259" s="577"/>
      <c r="BC259" s="582"/>
      <c r="BD259" s="398"/>
      <c r="BE259" s="579"/>
      <c r="BF259" s="577"/>
      <c r="BG259" s="582"/>
      <c r="BH259" s="398"/>
      <c r="BI259" s="579"/>
      <c r="BJ259" s="138"/>
    </row>
    <row r="260" spans="1:62" ht="15" customHeight="1">
      <c r="A260" s="138"/>
      <c r="B260" s="642" t="str">
        <f>IF(OR(Tool!H$7="Deutsch",Tool!H$7=""),"K334","C334")</f>
        <v>K334</v>
      </c>
      <c r="C260" s="872" t="str">
        <f>IF(Tool!$H$7="Français",G260,IF(Tool!$H$7="Italiano",I260,E260))</f>
        <v>Wird eine Messeinrichtung für ein langfristiges Monitoring vorgesehen, welche zur Beurteilung der thermischen Behaglichkeit im Gebäude dient und eine entsprechende Auswertung ermöglicht?</v>
      </c>
      <c r="D260" s="642" t="str">
        <f>$B260</f>
        <v>K334</v>
      </c>
      <c r="E260" s="641" t="s">
        <v>456</v>
      </c>
      <c r="F260" s="642" t="str">
        <f>$B260</f>
        <v>K334</v>
      </c>
      <c r="G260" s="641" t="s">
        <v>1984</v>
      </c>
      <c r="H260" s="642" t="str">
        <f>$B260</f>
        <v>K334</v>
      </c>
      <c r="I260" s="669" t="s">
        <v>1837</v>
      </c>
      <c r="J260" s="642" t="s">
        <v>969</v>
      </c>
      <c r="K260" s="644"/>
      <c r="L260" s="645"/>
      <c r="M260" s="645"/>
      <c r="N260" s="645"/>
      <c r="O260" s="645"/>
      <c r="P260" s="646"/>
      <c r="Q260" s="642" t="str">
        <f>$B260</f>
        <v>K334</v>
      </c>
      <c r="R260" s="644"/>
      <c r="S260" s="645"/>
      <c r="T260" s="645"/>
      <c r="U260" s="645"/>
      <c r="V260" s="672"/>
      <c r="W260" s="670"/>
      <c r="X260" s="642" t="str">
        <f>$B260</f>
        <v>K334</v>
      </c>
      <c r="Y260" s="644"/>
      <c r="Z260" s="645"/>
      <c r="AA260" s="645"/>
      <c r="AB260" s="645"/>
      <c r="AC260" s="672"/>
      <c r="AD260" s="670"/>
      <c r="AE260" s="138" t="s">
        <v>28</v>
      </c>
      <c r="AF260" s="409"/>
      <c r="AG260" s="769"/>
      <c r="AH260" s="442"/>
      <c r="AI260" s="38"/>
      <c r="AJ260" s="43">
        <v>0.25</v>
      </c>
      <c r="AK260" s="43">
        <f t="shared" si="47"/>
        <v>7.4999999999999997E-2</v>
      </c>
      <c r="AL260" s="43">
        <v>0</v>
      </c>
      <c r="AM260" s="44"/>
      <c r="AN260" s="44"/>
      <c r="AO260" s="44" t="str">
        <f>IF(Check!S765=$AQ$4,AJ260,IF(Check!S765=$AQ$6,AK260,IF(OR(Check!S765=$AQ$5,AO258=""),AL260,"NB")))</f>
        <v>NB</v>
      </c>
      <c r="AP260" s="981"/>
      <c r="AQ260" s="44"/>
      <c r="AR260" s="44"/>
      <c r="AS260" s="146"/>
      <c r="AT260" s="1"/>
      <c r="AU260" s="1"/>
      <c r="AV260" s="442"/>
      <c r="AW260" s="44"/>
      <c r="AX260" s="1"/>
      <c r="AY260" s="38"/>
      <c r="AZ260" s="1"/>
      <c r="BA260" s="38"/>
      <c r="BB260" s="577"/>
      <c r="BC260" s="582"/>
      <c r="BD260" s="398"/>
      <c r="BE260" s="579"/>
      <c r="BF260" s="577"/>
      <c r="BG260" s="582"/>
      <c r="BH260" s="398"/>
      <c r="BI260" s="579"/>
      <c r="BJ260" s="138"/>
    </row>
    <row r="261" spans="1:62" ht="15" customHeight="1">
      <c r="A261" s="138"/>
      <c r="B261" s="671"/>
      <c r="C261" s="872" t="str">
        <f>IF(Tool!$H$7="Français",G261,IF(Tool!$H$7="Italiano",I261,E261))</f>
        <v>Besteht ein Konzept, welches ein Monitoring der thermischen Behaglichkeit ermöglicht, und werden dementsprechende Messeinrichtungen installiert?</v>
      </c>
      <c r="D261" s="671"/>
      <c r="E261" s="641" t="s">
        <v>1005</v>
      </c>
      <c r="F261" s="671"/>
      <c r="G261" s="641" t="s">
        <v>1006</v>
      </c>
      <c r="H261" s="671"/>
      <c r="I261" s="669" t="s">
        <v>1838</v>
      </c>
      <c r="J261" s="671"/>
      <c r="K261" s="644"/>
      <c r="L261" s="645"/>
      <c r="M261" s="645"/>
      <c r="N261" s="645"/>
      <c r="O261" s="645"/>
      <c r="P261" s="646"/>
      <c r="Q261" s="671"/>
      <c r="R261" s="644"/>
      <c r="S261" s="645"/>
      <c r="T261" s="645"/>
      <c r="U261" s="645"/>
      <c r="V261" s="672"/>
      <c r="W261" s="670"/>
      <c r="X261" s="671"/>
      <c r="Y261" s="644"/>
      <c r="Z261" s="645"/>
      <c r="AA261" s="645"/>
      <c r="AB261" s="645"/>
      <c r="AC261" s="672"/>
      <c r="AD261" s="670"/>
      <c r="AE261" s="138" t="s">
        <v>28</v>
      </c>
      <c r="AF261" s="335"/>
      <c r="AG261" s="340"/>
      <c r="AH261" s="766"/>
      <c r="AI261" s="340"/>
      <c r="AJ261" s="43">
        <v>0.25</v>
      </c>
      <c r="AK261" s="43">
        <f t="shared" si="47"/>
        <v>7.4999999999999997E-2</v>
      </c>
      <c r="AL261" s="43">
        <v>0</v>
      </c>
      <c r="AM261" s="44"/>
      <c r="AN261" s="44"/>
      <c r="AO261" s="44" t="str">
        <f>IF(Check!S768=$AQ$4,AJ261,IF(Check!S768=$AQ$6,AK261,IF(OR(Check!S768=$AQ$5,AO258=""),AL261,"NB")))</f>
        <v>NB</v>
      </c>
      <c r="AP261" s="44"/>
      <c r="AQ261" s="44"/>
      <c r="AR261" s="44"/>
      <c r="AS261" s="41"/>
      <c r="AT261" s="41"/>
      <c r="AU261" s="41"/>
      <c r="AV261" s="442"/>
      <c r="AW261" s="44"/>
      <c r="AX261" s="1"/>
      <c r="AY261" s="38"/>
      <c r="AZ261" s="1"/>
      <c r="BA261" s="38"/>
      <c r="BB261" s="577"/>
      <c r="BC261" s="582"/>
      <c r="BD261" s="398"/>
      <c r="BE261" s="579"/>
      <c r="BF261" s="577"/>
      <c r="BG261" s="582"/>
      <c r="BH261" s="398"/>
      <c r="BI261" s="579"/>
      <c r="BJ261" s="138"/>
    </row>
    <row r="262" spans="1:62" ht="15" customHeight="1">
      <c r="A262" s="138"/>
      <c r="B262" s="671"/>
      <c r="C262" s="872" t="str">
        <f>IF(Tool!$H$7="Français",G262,IF(Tool!$H$7="Italiano",I262,E262))</f>
        <v>Ist eine langfristige Ablesung der Messergebnisse geplant bzw. gewährleistet?</v>
      </c>
      <c r="D262" s="671"/>
      <c r="E262" s="641" t="s">
        <v>1007</v>
      </c>
      <c r="F262" s="671"/>
      <c r="G262" s="641" t="s">
        <v>1008</v>
      </c>
      <c r="H262" s="671"/>
      <c r="I262" s="669" t="s">
        <v>1009</v>
      </c>
      <c r="J262" s="671"/>
      <c r="K262" s="644"/>
      <c r="L262" s="645"/>
      <c r="M262" s="645"/>
      <c r="N262" s="645"/>
      <c r="O262" s="645"/>
      <c r="P262" s="646"/>
      <c r="Q262" s="671"/>
      <c r="R262" s="644"/>
      <c r="S262" s="645"/>
      <c r="T262" s="645"/>
      <c r="U262" s="645"/>
      <c r="V262" s="672"/>
      <c r="W262" s="670"/>
      <c r="X262" s="671"/>
      <c r="Y262" s="644"/>
      <c r="Z262" s="645"/>
      <c r="AA262" s="645"/>
      <c r="AB262" s="645"/>
      <c r="AC262" s="672"/>
      <c r="AD262" s="670"/>
      <c r="AE262" s="138"/>
      <c r="AF262" s="335"/>
      <c r="AG262" s="340"/>
      <c r="AH262" s="766"/>
      <c r="AI262" s="340"/>
      <c r="AJ262" s="1055">
        <v>0.25</v>
      </c>
      <c r="AK262" s="43">
        <f t="shared" si="47"/>
        <v>7.4999999999999997E-2</v>
      </c>
      <c r="AL262" s="43">
        <v>0</v>
      </c>
      <c r="AM262" s="44"/>
      <c r="AN262" s="44"/>
      <c r="AO262" s="44" t="str">
        <f>IF(Check!S771=$AQ$4,AJ262,IF(Check!S771=$AQ$6,AK262,IF(OR(Check!S771=$AQ$5,AO258=""),AL262,"NB")))</f>
        <v>NB</v>
      </c>
      <c r="AP262" s="44"/>
      <c r="AQ262" s="44"/>
      <c r="AR262" s="44"/>
      <c r="AS262" s="41"/>
      <c r="AT262" s="41"/>
      <c r="AU262" s="41"/>
      <c r="AV262" s="442"/>
      <c r="AW262" s="44"/>
      <c r="AX262" s="1"/>
      <c r="AY262" s="38"/>
      <c r="AZ262" s="1"/>
      <c r="BA262" s="38"/>
      <c r="BB262" s="577"/>
      <c r="BC262" s="582"/>
      <c r="BD262" s="398"/>
      <c r="BE262" s="579"/>
      <c r="BF262" s="577"/>
      <c r="BG262" s="582"/>
      <c r="BH262" s="398"/>
      <c r="BI262" s="579"/>
      <c r="BJ262" s="138"/>
    </row>
    <row r="263" spans="1:62" ht="15" customHeight="1">
      <c r="A263" s="138"/>
      <c r="B263" s="671"/>
      <c r="C263" s="872" t="str">
        <f>IF(Tool!$H$7="Français",G263,IF(Tool!$H$7="Italiano",I263,E263))</f>
        <v>Sind die Zuständigkeiten zur langfristigen Auswertung und Darstellung der Messergebnisse geregelt?</v>
      </c>
      <c r="D263" s="671"/>
      <c r="E263" s="641" t="s">
        <v>158</v>
      </c>
      <c r="F263" s="671"/>
      <c r="G263" s="641" t="s">
        <v>281</v>
      </c>
      <c r="H263" s="671"/>
      <c r="I263" s="669" t="s">
        <v>1010</v>
      </c>
      <c r="J263" s="671"/>
      <c r="K263" s="644"/>
      <c r="L263" s="645"/>
      <c r="M263" s="645"/>
      <c r="N263" s="645"/>
      <c r="O263" s="645"/>
      <c r="P263" s="646"/>
      <c r="Q263" s="671"/>
      <c r="R263" s="644"/>
      <c r="S263" s="645"/>
      <c r="T263" s="645"/>
      <c r="U263" s="645"/>
      <c r="V263" s="672"/>
      <c r="W263" s="670"/>
      <c r="X263" s="671"/>
      <c r="Y263" s="644"/>
      <c r="Z263" s="645"/>
      <c r="AA263" s="645"/>
      <c r="AB263" s="645"/>
      <c r="AC263" s="672"/>
      <c r="AD263" s="670"/>
      <c r="AE263" s="138"/>
      <c r="AF263" s="1096">
        <f>AQ53</f>
        <v>333</v>
      </c>
      <c r="AG263" s="1097" t="str">
        <f>AR53</f>
        <v>Systematische Inbetriebnahme</v>
      </c>
      <c r="AH263" s="1098"/>
      <c r="AI263" s="1099"/>
      <c r="AJ263" s="1092">
        <v>1</v>
      </c>
      <c r="AK263" s="1074" t="s">
        <v>46</v>
      </c>
      <c r="AL263" s="1075">
        <v>0</v>
      </c>
      <c r="AM263" s="1076"/>
      <c r="AN263" s="1076"/>
      <c r="AO263" s="1076" t="str">
        <f>IF(Check!S774=$AQ$4,AJ263,IF(OR(Check!S774=$AQ$6,Check!S774=$AQ$5),AL263,"NB"))</f>
        <v>NB</v>
      </c>
      <c r="AP263" s="1077"/>
      <c r="AQ263" s="1076" t="str">
        <f>IF(AP263=1,1,
IF(AO263=1,1,
IF(COUNTIF(AO264:AO266,"NB"),"NB",
IF(SUM(AO264:AO266)&gt;1,1,
IF(AND(SUM(AO264:AO266)&gt;=0,SUM(AO264:AO266)&lt;=1),SUM(AO264:AO266),"NB")))))</f>
        <v>NB</v>
      </c>
      <c r="AR263" s="1076"/>
      <c r="AS263" s="1078" t="str">
        <f>IF(AQ263="NB","NB",AQ263)</f>
        <v>NB</v>
      </c>
      <c r="AT263" s="1076"/>
      <c r="AU263" s="1076"/>
      <c r="AV263" s="1093"/>
      <c r="AW263" s="1079"/>
      <c r="AX263" s="37"/>
      <c r="AY263" s="1105"/>
      <c r="AZ263" s="37"/>
      <c r="BA263" s="1105"/>
      <c r="BB263" s="577" t="str">
        <f>IF($AS$263="NB","",
IF($AS$263&gt;=0.85,AF263&amp;" "&amp;AG263&amp;"; ",""))</f>
        <v/>
      </c>
      <c r="BC263" s="582" t="str">
        <f>IF($AS$263="NB","",
IF(AND($AS$263&gt;=0.65,$AS$263&lt;0.85),AF263&amp;" "&amp;AG263&amp;"; ",""))</f>
        <v/>
      </c>
      <c r="BD263" s="398" t="str">
        <f>IF($AS$263="NB","",
IF(AND($AS$263&gt;=0.5,$AS$263&lt;0.65),AF263&amp;" "&amp;AG263&amp;"; ",""))</f>
        <v/>
      </c>
      <c r="BE263" s="579" t="str">
        <f>IF($AS$263="NB","",
IF($AS$263&lt;0.5,AF263&amp;" "&amp;AG263&amp;"; ",""))</f>
        <v/>
      </c>
      <c r="BF263" s="577" t="str">
        <f>IF($AS$263="NB","",
IF($AS$263&gt;=0.85,AF263&amp;" ",""))</f>
        <v/>
      </c>
      <c r="BG263" s="582" t="str">
        <f>IF($AS$263="NB","",
IF(AND($AS$263&gt;=0.65,$AS$263&lt;0.85),AF263&amp;" ",""))</f>
        <v/>
      </c>
      <c r="BH263" s="398" t="str">
        <f>IF($AS$263="NB","",
IF(AND($AS$263&gt;=0.5,$AS$263&lt;0.65),AF263&amp;" ",""))</f>
        <v/>
      </c>
      <c r="BI263" s="579" t="str">
        <f>IF($AS$263="NB","",
IF($AS$263&lt;0.5,AF263&amp;" ",""))</f>
        <v/>
      </c>
      <c r="BJ263" s="138"/>
    </row>
    <row r="264" spans="1:62" ht="15" customHeight="1">
      <c r="A264" s="138"/>
      <c r="B264" s="667">
        <v>335</v>
      </c>
      <c r="C264" s="871" t="str">
        <f>IF(Tool!$H$7="Français",G264,IF(Tool!$H$7="Italiano",I264,E264))</f>
        <v>Wird ein explizites Konzept zur Förderung einer ressourcen- und umweltschonenden Mobilität (ÖV- und Velonutzung) und Reduktion des motorisierten Individualverkehrs erstellt und angewendet?</v>
      </c>
      <c r="D264" s="667">
        <f>$B264</f>
        <v>335</v>
      </c>
      <c r="E264" s="562" t="s">
        <v>337</v>
      </c>
      <c r="F264" s="667">
        <f>$B264</f>
        <v>335</v>
      </c>
      <c r="G264" s="563" t="s">
        <v>350</v>
      </c>
      <c r="H264" s="667">
        <f>$B264</f>
        <v>335</v>
      </c>
      <c r="I264" s="563" t="s">
        <v>1839</v>
      </c>
      <c r="J264" s="667">
        <f>$B264</f>
        <v>335</v>
      </c>
      <c r="K264" s="564"/>
      <c r="L264" s="565"/>
      <c r="M264" s="565"/>
      <c r="N264" s="565"/>
      <c r="O264" s="565"/>
      <c r="P264" s="566"/>
      <c r="Q264" s="667">
        <f>$B264</f>
        <v>335</v>
      </c>
      <c r="R264" s="564"/>
      <c r="S264" s="565"/>
      <c r="T264" s="565"/>
      <c r="U264" s="565"/>
      <c r="V264" s="572"/>
      <c r="W264" s="568"/>
      <c r="X264" s="667">
        <f>$B264</f>
        <v>335</v>
      </c>
      <c r="Y264" s="564"/>
      <c r="Z264" s="565"/>
      <c r="AA264" s="565"/>
      <c r="AB264" s="565"/>
      <c r="AC264" s="572"/>
      <c r="AD264" s="568"/>
      <c r="AE264" s="138"/>
      <c r="AF264" s="335"/>
      <c r="AG264" s="778"/>
      <c r="AH264" s="781"/>
      <c r="AI264" s="778"/>
      <c r="AJ264" s="397">
        <f>1/3</f>
        <v>0.33333333333333331</v>
      </c>
      <c r="AK264" s="43">
        <f t="shared" ref="AK264:AK266" si="48">AJ264*0.3</f>
        <v>9.9999999999999992E-2</v>
      </c>
      <c r="AL264" s="43">
        <v>0</v>
      </c>
      <c r="AM264" s="44"/>
      <c r="AN264" s="44"/>
      <c r="AO264" s="44" t="str">
        <f>IF(Check!S777=$AQ$4,AJ264,IF(Check!S777=$AQ$6,AK264,IF(OR(Check!S777=$AQ$5,AO263=""),AL264,"NB")))</f>
        <v>NB</v>
      </c>
      <c r="AP264" s="44"/>
      <c r="AQ264" s="44"/>
      <c r="AR264" s="44"/>
      <c r="AS264" s="41"/>
      <c r="AT264" s="41"/>
      <c r="AU264" s="41"/>
      <c r="AV264" s="442"/>
      <c r="AW264" s="44"/>
      <c r="AX264" s="41"/>
      <c r="AY264" s="38"/>
      <c r="AZ264" s="41"/>
      <c r="BA264" s="38"/>
      <c r="BB264" s="577"/>
      <c r="BC264" s="582"/>
      <c r="BD264" s="398"/>
      <c r="BE264" s="579"/>
      <c r="BF264" s="577"/>
      <c r="BG264" s="582"/>
      <c r="BH264" s="398"/>
      <c r="BI264" s="579"/>
      <c r="BJ264" s="138"/>
    </row>
    <row r="265" spans="1:62" ht="15" customHeight="1">
      <c r="A265" s="138"/>
      <c r="B265" s="667"/>
      <c r="C265" s="871" t="str">
        <f>IF(Tool!$H$7="Français",G265,IF(Tool!$H$7="Italiano",I265,E265))</f>
        <v>Werden Anreize zur Nutzung von ÖV, Velos oder Carsharing geschaffen? (z. B. keine Abnahmepflicht für Autoabstellplätze, Mitfinanzierung von ÖV-Abonnements, Carsharing-Plätze oder Elektro-Ladestationen)</v>
      </c>
      <c r="D265" s="667"/>
      <c r="E265" s="562" t="s">
        <v>1011</v>
      </c>
      <c r="F265" s="667"/>
      <c r="G265" s="563" t="s">
        <v>1012</v>
      </c>
      <c r="H265" s="667"/>
      <c r="I265" s="563" t="s">
        <v>1840</v>
      </c>
      <c r="J265" s="667"/>
      <c r="K265" s="564"/>
      <c r="L265" s="565"/>
      <c r="M265" s="565"/>
      <c r="N265" s="565"/>
      <c r="O265" s="565"/>
      <c r="P265" s="566"/>
      <c r="Q265" s="667"/>
      <c r="R265" s="564"/>
      <c r="S265" s="565"/>
      <c r="T265" s="565"/>
      <c r="U265" s="565"/>
      <c r="V265" s="572"/>
      <c r="W265" s="568"/>
      <c r="X265" s="667"/>
      <c r="Y265" s="564"/>
      <c r="Z265" s="565"/>
      <c r="AA265" s="565"/>
      <c r="AB265" s="565"/>
      <c r="AC265" s="572"/>
      <c r="AD265" s="568"/>
      <c r="AE265" s="138"/>
      <c r="AF265" s="335"/>
      <c r="AG265" s="778"/>
      <c r="AH265" s="781"/>
      <c r="AI265" s="778"/>
      <c r="AJ265" s="397">
        <f t="shared" ref="AJ265:AJ266" si="49">1/3</f>
        <v>0.33333333333333331</v>
      </c>
      <c r="AK265" s="43">
        <f t="shared" si="48"/>
        <v>9.9999999999999992E-2</v>
      </c>
      <c r="AL265" s="43">
        <v>0</v>
      </c>
      <c r="AM265" s="44"/>
      <c r="AN265" s="44"/>
      <c r="AO265" s="44" t="str">
        <f>IF(Check!S780=$AQ$4,AJ265,IF(Check!S780=$AQ$6,AK265,IF(OR(Check!S780=$AQ$5,AO263=""),AL265,"NB")))</f>
        <v>NB</v>
      </c>
      <c r="AP265" s="981"/>
      <c r="AQ265" s="44"/>
      <c r="AR265" s="44"/>
      <c r="AS265" s="146"/>
      <c r="AT265" s="1"/>
      <c r="AU265" s="1"/>
      <c r="AV265" s="442"/>
      <c r="AW265" s="44"/>
      <c r="AX265" s="1"/>
      <c r="AY265" s="38"/>
      <c r="AZ265" s="1"/>
      <c r="BA265" s="38"/>
      <c r="BB265" s="577"/>
      <c r="BC265" s="582"/>
      <c r="BD265" s="398"/>
      <c r="BE265" s="579"/>
      <c r="BF265" s="577"/>
      <c r="BG265" s="582"/>
      <c r="BH265" s="398"/>
      <c r="BI265" s="579"/>
      <c r="BJ265" s="138"/>
    </row>
    <row r="266" spans="1:62" ht="15" customHeight="1">
      <c r="A266" s="138"/>
      <c r="B266" s="667"/>
      <c r="C266" s="871" t="str">
        <f>IF(Tool!$H$7="Français",G266,IF(Tool!$H$7="Italiano",I266,E266))</f>
        <v>Wird die gesetzlich minimal mögliche Parkplatzzahl in ober- oder unterirdischen Gesamtanlagen geplant?</v>
      </c>
      <c r="D266" s="667"/>
      <c r="E266" s="562" t="s">
        <v>1621</v>
      </c>
      <c r="F266" s="667"/>
      <c r="G266" s="563" t="s">
        <v>1857</v>
      </c>
      <c r="H266" s="667"/>
      <c r="I266" s="563" t="s">
        <v>1013</v>
      </c>
      <c r="J266" s="667"/>
      <c r="K266" s="564"/>
      <c r="L266" s="565"/>
      <c r="M266" s="565"/>
      <c r="N266" s="565"/>
      <c r="O266" s="565"/>
      <c r="P266" s="566"/>
      <c r="Q266" s="667"/>
      <c r="R266" s="564"/>
      <c r="S266" s="565"/>
      <c r="T266" s="565"/>
      <c r="U266" s="565"/>
      <c r="V266" s="572"/>
      <c r="W266" s="568"/>
      <c r="X266" s="667"/>
      <c r="Y266" s="564"/>
      <c r="Z266" s="565"/>
      <c r="AA266" s="565"/>
      <c r="AB266" s="565"/>
      <c r="AC266" s="572"/>
      <c r="AD266" s="568"/>
      <c r="AE266" s="138"/>
      <c r="AF266" s="335"/>
      <c r="AG266" s="778"/>
      <c r="AH266" s="781"/>
      <c r="AI266" s="778"/>
      <c r="AJ266" s="397">
        <f t="shared" si="49"/>
        <v>0.33333333333333331</v>
      </c>
      <c r="AK266" s="43">
        <f t="shared" si="48"/>
        <v>9.9999999999999992E-2</v>
      </c>
      <c r="AL266" s="43">
        <v>0</v>
      </c>
      <c r="AM266" s="44"/>
      <c r="AN266" s="44"/>
      <c r="AO266" s="44" t="str">
        <f>IF(Check!S783=$AQ$4,AJ266,IF(Check!S783=$AQ$6,AK266,IF(OR(Check!S783=$AQ$5,AO263=""),AL266,"NB")))</f>
        <v>NB</v>
      </c>
      <c r="AP266" s="44"/>
      <c r="AQ266" s="44"/>
      <c r="AR266" s="44"/>
      <c r="AS266" s="41"/>
      <c r="AT266" s="41"/>
      <c r="AU266" s="41"/>
      <c r="AV266" s="442"/>
      <c r="AW266" s="44"/>
      <c r="AX266" s="1"/>
      <c r="AY266" s="38"/>
      <c r="AZ266" s="1"/>
      <c r="BA266" s="38"/>
      <c r="BB266" s="577"/>
      <c r="BC266" s="582"/>
      <c r="BD266" s="398"/>
      <c r="BE266" s="579"/>
      <c r="BF266" s="577"/>
      <c r="BG266" s="582"/>
      <c r="BH266" s="398"/>
      <c r="BI266" s="579"/>
      <c r="BJ266" s="138"/>
    </row>
    <row r="267" spans="1:62" ht="15" customHeight="1">
      <c r="A267" s="138"/>
      <c r="B267" s="667"/>
      <c r="C267" s="871" t="str">
        <f>IF(Tool!$H$7="Français",G267,IF(Tool!$H$7="Italiano",I267,E267))</f>
        <v>Bestehen für Autoparkplätze ähnliche Distanzen wie zu ÖV-Haltestellen?</v>
      </c>
      <c r="D267" s="667"/>
      <c r="E267" s="562" t="s">
        <v>1436</v>
      </c>
      <c r="F267" s="667"/>
      <c r="G267" s="563" t="s">
        <v>1438</v>
      </c>
      <c r="H267" s="996"/>
      <c r="I267" s="563" t="s">
        <v>1437</v>
      </c>
      <c r="J267" s="667"/>
      <c r="K267" s="564"/>
      <c r="L267" s="565"/>
      <c r="M267" s="565"/>
      <c r="N267" s="565"/>
      <c r="O267" s="565"/>
      <c r="P267" s="566"/>
      <c r="Q267" s="667"/>
      <c r="R267" s="564"/>
      <c r="S267" s="565"/>
      <c r="T267" s="565"/>
      <c r="U267" s="565"/>
      <c r="V267" s="572"/>
      <c r="W267" s="568"/>
      <c r="X267" s="667"/>
      <c r="Y267" s="564"/>
      <c r="Z267" s="565"/>
      <c r="AA267" s="565"/>
      <c r="AB267" s="565"/>
      <c r="AC267" s="572"/>
      <c r="AD267" s="568"/>
      <c r="AE267" s="138" t="s">
        <v>28</v>
      </c>
      <c r="AF267" s="576">
        <f>AQ54</f>
        <v>334</v>
      </c>
      <c r="AG267" s="777" t="str">
        <f>AR54</f>
        <v>Energiemonitoring</v>
      </c>
      <c r="AH267" s="1098"/>
      <c r="AI267" s="1099"/>
      <c r="AJ267" s="1092">
        <v>1</v>
      </c>
      <c r="AK267" s="1074" t="s">
        <v>46</v>
      </c>
      <c r="AL267" s="1075">
        <v>0</v>
      </c>
      <c r="AM267" s="1076"/>
      <c r="AN267" s="1076"/>
      <c r="AO267" s="1076" t="str">
        <f>IF(Check!S786=$AQ$4,AJ267,IF(OR(Check!S786=$AQ$6,Check!S786=$AQ$5),AL267,"NB"))</f>
        <v>NB</v>
      </c>
      <c r="AP267" s="1077" t="str">
        <f>IF(OR(AG$40=AQ$4,AG$41=AQ$4,AG$42=AQ$4),1,"NB")</f>
        <v>NB</v>
      </c>
      <c r="AQ267" s="1076" t="str">
        <f>IF(AP267=1,1,
IF(AO267=1,1,
IF(COUNTIF(AO268:AO270,"NB"),"NB",
IF(SUM(AO268:AO270)&gt;1,1,
IF(AND(SUM(AO268:AO270)&gt;=0,SUM(AO268:AO270)&lt;=1),SUM(AO268:AO270),"NB")))))</f>
        <v>NB</v>
      </c>
      <c r="AR267" s="1076"/>
      <c r="AS267" s="1078" t="str">
        <f>IF(AQ267="NB","NB",AQ267)</f>
        <v>NB</v>
      </c>
      <c r="AT267" s="1076"/>
      <c r="AU267" s="1076"/>
      <c r="AV267" s="701"/>
      <c r="AW267" s="655" t="str">
        <f>AS267</f>
        <v>NB</v>
      </c>
      <c r="AX267" s="700"/>
      <c r="AY267" s="1493"/>
      <c r="AZ267" s="37"/>
      <c r="BA267" s="1494" t="str">
        <f>AW267</f>
        <v>NB</v>
      </c>
      <c r="BB267" s="577" t="str">
        <f>IF($AS$267="NB","",
IF($AS$267&gt;=0.85,AF267&amp;" "&amp;AG267&amp;"; ",""))</f>
        <v/>
      </c>
      <c r="BC267" s="582" t="str">
        <f>IF($AS$267="NB","",
IF(AND($AS$267&gt;=0.65,$AS$267&lt;0.85),AF267&amp;" "&amp;AG267&amp;"; ",""))</f>
        <v/>
      </c>
      <c r="BD267" s="398" t="str">
        <f>IF($AS$267="NB","",
IF(AND($AS$267&gt;=0.5,$AS$267&lt;0.65),AF267&amp;" "&amp;AG267&amp;"; ",""))</f>
        <v/>
      </c>
      <c r="BE267" s="579" t="str">
        <f>IF($AS$267="NB","",
IF($AS$267&lt;0.5,AF267&amp;" "&amp;AG267&amp;"; ",""))</f>
        <v/>
      </c>
      <c r="BF267" s="577" t="str">
        <f>IF($AS$267="NB","",
IF($AS$267&gt;=0.85,AF267&amp;" ",""))</f>
        <v/>
      </c>
      <c r="BG267" s="582" t="str">
        <f>IF($AS$267="NB","",
IF(AND($AS$267&gt;=0.65,$AS$267&lt;0.85),AF267&amp;" ",""))</f>
        <v/>
      </c>
      <c r="BH267" s="398" t="str">
        <f>IF($AS$267="NB","",
IF(AND($AS$267&gt;=0.5,$AS$267&lt;0.65),AF267&amp;" ",""))</f>
        <v/>
      </c>
      <c r="BI267" s="579" t="str">
        <f>IF($AS$267="NB","",
IF($AS$267&lt;0.5,AF267&amp;" ",""))</f>
        <v/>
      </c>
      <c r="BJ267" s="138"/>
    </row>
    <row r="268" spans="1:62" ht="15" customHeight="1">
      <c r="A268" s="138"/>
      <c r="B268" s="667"/>
      <c r="C268" s="871" t="str">
        <f>IF(Tool!$H$7="Français",G268,IF(Tool!$H$7="Italiano",I268,E268))</f>
        <v>Sind die Veloabstellplätze schneller und besser erreichbar als Autoabstellplätze?</v>
      </c>
      <c r="D268" s="667"/>
      <c r="E268" s="562" t="s">
        <v>25</v>
      </c>
      <c r="F268" s="667"/>
      <c r="G268" s="563" t="s">
        <v>291</v>
      </c>
      <c r="H268" s="667"/>
      <c r="I268" s="570" t="s">
        <v>1014</v>
      </c>
      <c r="J268" s="667"/>
      <c r="K268" s="564"/>
      <c r="L268" s="565"/>
      <c r="M268" s="565"/>
      <c r="N268" s="565"/>
      <c r="O268" s="565"/>
      <c r="P268" s="566"/>
      <c r="Q268" s="667"/>
      <c r="R268" s="564"/>
      <c r="S268" s="565"/>
      <c r="T268" s="565"/>
      <c r="U268" s="565"/>
      <c r="V268" s="572"/>
      <c r="W268" s="568"/>
      <c r="X268" s="667"/>
      <c r="Y268" s="564"/>
      <c r="Z268" s="565"/>
      <c r="AA268" s="565"/>
      <c r="AB268" s="565"/>
      <c r="AC268" s="572"/>
      <c r="AD268" s="568"/>
      <c r="AE268" s="138" t="s">
        <v>28</v>
      </c>
      <c r="AF268" s="335"/>
      <c r="AG268" s="340"/>
      <c r="AH268" s="781"/>
      <c r="AI268" s="778"/>
      <c r="AJ268" s="397">
        <f>1/3</f>
        <v>0.33333333333333331</v>
      </c>
      <c r="AK268" s="43">
        <f t="shared" ref="AK268:AK270" si="50">AJ268*0.3</f>
        <v>9.9999999999999992E-2</v>
      </c>
      <c r="AL268" s="43">
        <v>0</v>
      </c>
      <c r="AM268" s="44"/>
      <c r="AN268" s="44"/>
      <c r="AO268" s="44" t="str">
        <f>IF(Check!S789=$AQ$4,AJ268,IF(Check!S789=$AQ$6,AK268,IF(OR(Check!S789=$AQ$5,AO267=""),AL268,"NB")))</f>
        <v>NB</v>
      </c>
      <c r="AP268" s="44"/>
      <c r="AQ268" s="44"/>
      <c r="AR268" s="44"/>
      <c r="AS268" s="41"/>
      <c r="AT268" s="41"/>
      <c r="AU268" s="41"/>
      <c r="AV268" s="442"/>
      <c r="AW268" s="44"/>
      <c r="AX268" s="41"/>
      <c r="AY268" s="38"/>
      <c r="AZ268" s="41"/>
      <c r="BA268" s="38"/>
      <c r="BB268" s="577"/>
      <c r="BC268" s="582"/>
      <c r="BD268" s="398"/>
      <c r="BE268" s="579"/>
      <c r="BF268" s="577"/>
      <c r="BG268" s="582"/>
      <c r="BH268" s="398"/>
      <c r="BI268" s="579"/>
      <c r="BJ268" s="138"/>
    </row>
    <row r="269" spans="1:62" ht="15" customHeight="1">
      <c r="A269" s="138"/>
      <c r="B269" s="667"/>
      <c r="C269" s="871" t="str">
        <f>IF(Tool!$H$7="Français",G269,IF(Tool!$H$7="Italiano",I269,E269))</f>
        <v>Wird eine höhere Anzahl Veloabstellplätze erstellt als gesetzlich erforderlich ist? (z.B. beim Wohnen: 1 Veloparkplatz pro Zimmer; beim Büro 2 Veloparkplätze pro 10 Mitarbeitende oder gemäss Wegleitung des ASTRA berechnet)</v>
      </c>
      <c r="D269" s="667"/>
      <c r="E269" s="562" t="s">
        <v>1960</v>
      </c>
      <c r="F269" s="667"/>
      <c r="G269" s="563" t="s">
        <v>1961</v>
      </c>
      <c r="H269" s="667"/>
      <c r="I269" s="562" t="s">
        <v>1962</v>
      </c>
      <c r="J269" s="667"/>
      <c r="K269" s="564"/>
      <c r="L269" s="565"/>
      <c r="M269" s="565"/>
      <c r="N269" s="565"/>
      <c r="O269" s="565"/>
      <c r="P269" s="566"/>
      <c r="Q269" s="667"/>
      <c r="R269" s="564"/>
      <c r="S269" s="565"/>
      <c r="T269" s="565"/>
      <c r="U269" s="565"/>
      <c r="V269" s="572"/>
      <c r="W269" s="568"/>
      <c r="X269" s="667"/>
      <c r="Y269" s="564"/>
      <c r="Z269" s="565"/>
      <c r="AA269" s="565"/>
      <c r="AB269" s="565"/>
      <c r="AC269" s="572"/>
      <c r="AD269" s="568"/>
      <c r="AE269" s="138" t="s">
        <v>28</v>
      </c>
      <c r="AF269" s="409"/>
      <c r="AG269" s="769"/>
      <c r="AH269" s="781"/>
      <c r="AI269" s="778"/>
      <c r="AJ269" s="397">
        <f t="shared" ref="AJ269:AJ270" si="51">1/3</f>
        <v>0.33333333333333331</v>
      </c>
      <c r="AK269" s="43">
        <f t="shared" si="50"/>
        <v>9.9999999999999992E-2</v>
      </c>
      <c r="AL269" s="43">
        <v>0</v>
      </c>
      <c r="AM269" s="44"/>
      <c r="AN269" s="44"/>
      <c r="AO269" s="44" t="str">
        <f>IF(Check!S792=$AQ$4,AJ269,IF(Check!S792=$AQ$6,AK269,IF(OR(Check!S792=$AQ$5,AO267=""),AL269,"NB")))</f>
        <v>NB</v>
      </c>
      <c r="AP269" s="981"/>
      <c r="AQ269" s="44"/>
      <c r="AR269" s="44"/>
      <c r="AS269" s="146"/>
      <c r="AT269" s="1"/>
      <c r="AU269" s="1"/>
      <c r="AV269" s="442"/>
      <c r="AW269" s="44"/>
      <c r="AX269" s="1"/>
      <c r="AY269" s="38"/>
      <c r="AZ269" s="1"/>
      <c r="BA269" s="38"/>
      <c r="BB269" s="577"/>
      <c r="BC269" s="582"/>
      <c r="BD269" s="398"/>
      <c r="BE269" s="579"/>
      <c r="BF269" s="577"/>
      <c r="BG269" s="582"/>
      <c r="BH269" s="398"/>
      <c r="BI269" s="579"/>
      <c r="BJ269" s="138"/>
    </row>
    <row r="270" spans="1:62" ht="15" customHeight="1">
      <c r="A270" s="138"/>
      <c r="B270" s="667">
        <v>336</v>
      </c>
      <c r="C270" s="871" t="str">
        <f>IF(Tool!$H$7="Français",G270,IF(Tool!$H$7="Italiano",I270,E270))</f>
        <v>Ist der Aufbau einer Ladeinfrastruktur für Elektromobilität sowohl für den motorisierten Individualverkehr wie auch für den Langsamverkehr geplant?</v>
      </c>
      <c r="D270" s="667">
        <f>$B270</f>
        <v>336</v>
      </c>
      <c r="E270" s="562" t="s">
        <v>1015</v>
      </c>
      <c r="F270" s="667">
        <f>$B270</f>
        <v>336</v>
      </c>
      <c r="G270" s="563" t="s">
        <v>1985</v>
      </c>
      <c r="H270" s="667">
        <f>$B270</f>
        <v>336</v>
      </c>
      <c r="I270" s="562" t="s">
        <v>1019</v>
      </c>
      <c r="J270" s="667">
        <f>$B270</f>
        <v>336</v>
      </c>
      <c r="K270" s="564"/>
      <c r="L270" s="565"/>
      <c r="M270" s="565"/>
      <c r="N270" s="565"/>
      <c r="O270" s="565"/>
      <c r="P270" s="566"/>
      <c r="Q270" s="667">
        <f>$B270</f>
        <v>336</v>
      </c>
      <c r="R270" s="564"/>
      <c r="S270" s="565"/>
      <c r="T270" s="565"/>
      <c r="U270" s="565"/>
      <c r="V270" s="572"/>
      <c r="W270" s="568"/>
      <c r="X270" s="667">
        <f>$B270</f>
        <v>336</v>
      </c>
      <c r="Y270" s="564"/>
      <c r="Z270" s="565"/>
      <c r="AA270" s="565"/>
      <c r="AB270" s="565"/>
      <c r="AC270" s="572"/>
      <c r="AD270" s="568"/>
      <c r="AE270" s="138"/>
      <c r="AF270" s="335"/>
      <c r="AG270" s="340"/>
      <c r="AH270" s="781"/>
      <c r="AI270" s="778"/>
      <c r="AJ270" s="397">
        <f t="shared" si="51"/>
        <v>0.33333333333333331</v>
      </c>
      <c r="AK270" s="43">
        <f t="shared" si="50"/>
        <v>9.9999999999999992E-2</v>
      </c>
      <c r="AL270" s="43">
        <v>0</v>
      </c>
      <c r="AM270" s="44"/>
      <c r="AN270" s="44"/>
      <c r="AO270" s="44" t="str">
        <f>IF(Check!S795=$AQ$4,AJ270,IF(Check!S795=$AQ$6,AK270,IF(OR(Check!S795=$AQ$5,AO267=""),AL270,"NB")))</f>
        <v>NB</v>
      </c>
      <c r="AP270" s="44"/>
      <c r="AQ270" s="44"/>
      <c r="AR270" s="44"/>
      <c r="AS270" s="41"/>
      <c r="AT270" s="41"/>
      <c r="AU270" s="41"/>
      <c r="AV270" s="442"/>
      <c r="AW270" s="44"/>
      <c r="AX270" s="1"/>
      <c r="AY270" s="38"/>
      <c r="AZ270" s="1"/>
      <c r="BA270" s="38"/>
      <c r="BB270" s="577"/>
      <c r="BC270" s="582"/>
      <c r="BD270" s="398"/>
      <c r="BE270" s="579"/>
      <c r="BF270" s="577"/>
      <c r="BG270" s="582"/>
      <c r="BH270" s="398"/>
      <c r="BI270" s="579"/>
      <c r="BJ270" s="138"/>
    </row>
    <row r="271" spans="1:62" ht="15" customHeight="1">
      <c r="A271" s="138"/>
      <c r="B271" s="667"/>
      <c r="C271" s="871" t="str">
        <f>IF(Tool!$H$7="Français",G271,IF(Tool!$H$7="Italiano",I271,E271))</f>
        <v>Werden die Gebäudezuleitungen ausreichend dimensioniert für die (spätere) Installation von Ladeinfrastruktur?</v>
      </c>
      <c r="D271" s="667"/>
      <c r="E271" s="562" t="s">
        <v>1016</v>
      </c>
      <c r="F271" s="667"/>
      <c r="G271" s="563" t="s">
        <v>1021</v>
      </c>
      <c r="H271" s="667"/>
      <c r="I271" s="562" t="s">
        <v>1841</v>
      </c>
      <c r="J271" s="667"/>
      <c r="K271" s="564"/>
      <c r="L271" s="565"/>
      <c r="M271" s="565"/>
      <c r="N271" s="565"/>
      <c r="O271" s="565"/>
      <c r="P271" s="566"/>
      <c r="Q271" s="667"/>
      <c r="R271" s="564"/>
      <c r="S271" s="565"/>
      <c r="T271" s="565"/>
      <c r="U271" s="565"/>
      <c r="V271" s="572"/>
      <c r="W271" s="568"/>
      <c r="X271" s="667"/>
      <c r="Y271" s="564"/>
      <c r="Z271" s="565"/>
      <c r="AA271" s="565"/>
      <c r="AB271" s="565"/>
      <c r="AC271" s="572"/>
      <c r="AD271" s="568"/>
      <c r="AE271" s="138"/>
      <c r="AF271" s="1006" t="str">
        <f>AT$48</f>
        <v>K334</v>
      </c>
      <c r="AG271" s="1003" t="str">
        <f>AU48</f>
        <v>Behaglichkeitsmonitoring</v>
      </c>
      <c r="AH271" s="1007"/>
      <c r="AI271" s="1003"/>
      <c r="AJ271" s="1008">
        <v>1</v>
      </c>
      <c r="AK271" s="1008" t="s">
        <v>46</v>
      </c>
      <c r="AL271" s="1008">
        <v>0</v>
      </c>
      <c r="AM271" s="1012"/>
      <c r="AN271" s="1012"/>
      <c r="AO271" s="1023" t="str">
        <f>IF(Check!S798=$AQ$4,AJ271,IF(OR(Check!S798=$AQ$6,Check!S798=$AQ$5,Check!S798=$AU$6),AL271,"NB"))</f>
        <v>NB</v>
      </c>
      <c r="AP271" s="1012"/>
      <c r="AQ271" s="1012"/>
      <c r="AR271" s="1012"/>
      <c r="AS271" s="1012"/>
      <c r="AT271" s="1012"/>
      <c r="AU271" s="1012"/>
      <c r="AV271" s="1009" t="str">
        <f>IF(AP271=1,1,
IF(AO271=1,1,
IF(COUNTIF(AO272:AO274,"NB"),"NB",
IF(SUM(AO272:AO274)&gt;1,1,
IF(AND(SUM(AO272:AO274)&gt;=0,SUM(AO272:AO274)&lt;=1),SUM(AO272:AO274),"NB")))))</f>
        <v>NB</v>
      </c>
      <c r="AW271" s="655" t="str">
        <f>IF(AV271="NB","NB",AV271)</f>
        <v>NB</v>
      </c>
      <c r="AX271" s="1012"/>
      <c r="AY271" s="1035"/>
      <c r="AZ271" s="1547" t="str">
        <f>AW271</f>
        <v>NB</v>
      </c>
      <c r="BA271" s="1035"/>
      <c r="BB271" s="577" t="str">
        <f>IF($AW$271="NB","",
IF($AW$271&gt;=0.85,AF271&amp;" "&amp;AG271&amp;"; ",""))</f>
        <v/>
      </c>
      <c r="BC271" s="582" t="str">
        <f>IF($AW$271="NB","",
IF(AND($AW$271&gt;=0.65,$AW$271&lt;0.85),AF271&amp;" "&amp;AG271&amp;"; ",""))</f>
        <v/>
      </c>
      <c r="BD271" s="398" t="str">
        <f>IF($AW$271="NB","",
IF(AND($AW$271&gt;=0.5,$AW$271&lt;0.65),AF271&amp;" "&amp;AG271&amp;"; ",""))</f>
        <v/>
      </c>
      <c r="BE271" s="579" t="str">
        <f>IF($AW$271="NB","",
IF($AW$271&lt;0.5,AF271&amp;" "&amp;AG271&amp;"; ",""))</f>
        <v/>
      </c>
      <c r="BF271" s="577" t="str">
        <f>IF($AW$271="NB","",
IF($AW$271&gt;=0.85,AF271&amp;" ",""))</f>
        <v/>
      </c>
      <c r="BG271" s="582" t="str">
        <f>IF($AW$271="NB","",
IF(AND($AW$271&gt;=0.65,$AW$271&lt;0.85),AF271&amp;" ",""))</f>
        <v/>
      </c>
      <c r="BH271" s="398" t="str">
        <f>IF($AW$271="NB","",
IF(AND($AW$271&gt;=0.5,$AW$271&lt;0.65),AF271&amp;" ",""))</f>
        <v/>
      </c>
      <c r="BI271" s="579" t="str">
        <f>IF($AW$271="NB","",
IF($AW$271&lt;0.5,AF271&amp;" ",""))</f>
        <v/>
      </c>
      <c r="BJ271" s="138"/>
    </row>
    <row r="272" spans="1:62" ht="15" customHeight="1">
      <c r="A272" s="138"/>
      <c r="B272" s="667"/>
      <c r="C272" s="871" t="str">
        <f>IF(Tool!$H$7="Français",G272,IF(Tool!$H$7="Italiano",I272,E272))</f>
        <v>Erfolgt die elektrische Erschliessung bis zu den (künftigen) Ladepunkten oder Parkierungsflächen?</v>
      </c>
      <c r="D272" s="667"/>
      <c r="E272" s="562" t="s">
        <v>1018</v>
      </c>
      <c r="F272" s="667"/>
      <c r="G272" s="563" t="s">
        <v>1858</v>
      </c>
      <c r="H272" s="667"/>
      <c r="I272" s="562" t="s">
        <v>1842</v>
      </c>
      <c r="J272" s="667"/>
      <c r="K272" s="564"/>
      <c r="L272" s="565"/>
      <c r="M272" s="565"/>
      <c r="N272" s="565"/>
      <c r="O272" s="565"/>
      <c r="P272" s="566"/>
      <c r="Q272" s="667"/>
      <c r="R272" s="564"/>
      <c r="S272" s="565"/>
      <c r="T272" s="565"/>
      <c r="U272" s="565"/>
      <c r="V272" s="572"/>
      <c r="W272" s="568"/>
      <c r="X272" s="667"/>
      <c r="Y272" s="564"/>
      <c r="Z272" s="565"/>
      <c r="AA272" s="565"/>
      <c r="AB272" s="565"/>
      <c r="AC272" s="572"/>
      <c r="AD272" s="568"/>
      <c r="AE272" s="138"/>
      <c r="AF272" s="409"/>
      <c r="AG272" s="769"/>
      <c r="AH272" s="771"/>
      <c r="AI272" s="769"/>
      <c r="AJ272" s="43">
        <f>AJ271/3</f>
        <v>0.33333333333333331</v>
      </c>
      <c r="AK272" s="43">
        <f t="shared" ref="AK272:AK274" si="52">AJ272*0.3</f>
        <v>9.9999999999999992E-2</v>
      </c>
      <c r="AL272" s="43">
        <v>0</v>
      </c>
      <c r="AM272" s="44"/>
      <c r="AN272" s="44"/>
      <c r="AO272" s="44" t="str">
        <f>IF(Check!S801=$AQ$4,AJ272,IF(Check!S801=$AQ$6,AK272,IF(OR(Check!S801=$AQ$5,AO271=""),AL272,"NB")))</f>
        <v>NB</v>
      </c>
      <c r="AP272" s="981"/>
      <c r="AQ272" s="44"/>
      <c r="AR272" s="44"/>
      <c r="AS272" s="146"/>
      <c r="AT272" s="41"/>
      <c r="AU272" s="41"/>
      <c r="AV272" s="442"/>
      <c r="AW272" s="44"/>
      <c r="AX272" s="41"/>
      <c r="AY272" s="42"/>
      <c r="AZ272" s="41"/>
      <c r="BA272" s="42"/>
      <c r="BB272" s="577"/>
      <c r="BC272" s="582"/>
      <c r="BD272" s="398"/>
      <c r="BE272" s="579"/>
      <c r="BF272" s="577"/>
      <c r="BG272" s="582"/>
      <c r="BH272" s="398"/>
      <c r="BI272" s="579"/>
      <c r="BJ272" s="138"/>
    </row>
    <row r="273" spans="1:62" ht="15" customHeight="1">
      <c r="A273" s="138"/>
      <c r="B273" s="667"/>
      <c r="C273" s="871" t="str">
        <f>IF(Tool!$H$7="Français",G273,IF(Tool!$H$7="Italiano",I273,E273))</f>
        <v>Sind E-Bike-Ladepunkte vorgesehen oder befindet sich in unmittelbarer Nähe ein Angebot von E-Sharing (E-Bike oder E-Trottinett)?</v>
      </c>
      <c r="D273" s="667"/>
      <c r="E273" s="562" t="s">
        <v>1017</v>
      </c>
      <c r="F273" s="667"/>
      <c r="G273" s="563" t="s">
        <v>1022</v>
      </c>
      <c r="H273" s="667"/>
      <c r="I273" s="562" t="s">
        <v>1020</v>
      </c>
      <c r="J273" s="667"/>
      <c r="K273" s="564"/>
      <c r="L273" s="565"/>
      <c r="M273" s="565"/>
      <c r="N273" s="565"/>
      <c r="O273" s="565"/>
      <c r="P273" s="566"/>
      <c r="Q273" s="667"/>
      <c r="R273" s="564"/>
      <c r="S273" s="565"/>
      <c r="T273" s="565"/>
      <c r="U273" s="565"/>
      <c r="V273" s="572"/>
      <c r="W273" s="568"/>
      <c r="X273" s="667"/>
      <c r="Y273" s="564"/>
      <c r="Z273" s="565"/>
      <c r="AA273" s="565"/>
      <c r="AB273" s="565"/>
      <c r="AC273" s="572"/>
      <c r="AD273" s="568"/>
      <c r="AE273" s="138"/>
      <c r="AF273" s="409"/>
      <c r="AG273" s="769"/>
      <c r="AH273" s="771"/>
      <c r="AI273" s="769"/>
      <c r="AJ273" s="43">
        <f>AJ271/3</f>
        <v>0.33333333333333331</v>
      </c>
      <c r="AK273" s="43">
        <f t="shared" si="52"/>
        <v>9.9999999999999992E-2</v>
      </c>
      <c r="AL273" s="43">
        <v>0</v>
      </c>
      <c r="AM273" s="44"/>
      <c r="AN273" s="44"/>
      <c r="AO273" s="44" t="str">
        <f>IF(Check!S804=$AQ$4,AJ273,IF(Check!S804=$AQ$6,AK273,IF(OR(Check!S804=$AQ$5,AO271=""),AL273,"NB")))</f>
        <v>NB</v>
      </c>
      <c r="AP273" s="981"/>
      <c r="AQ273" s="44"/>
      <c r="AR273" s="44"/>
      <c r="AS273" s="146"/>
      <c r="AT273" s="41"/>
      <c r="AU273" s="41"/>
      <c r="AV273" s="442"/>
      <c r="AW273" s="44"/>
      <c r="AX273" s="41"/>
      <c r="AY273" s="42"/>
      <c r="AZ273" s="41"/>
      <c r="BA273" s="42"/>
      <c r="BB273" s="577"/>
      <c r="BC273" s="582"/>
      <c r="BD273" s="398"/>
      <c r="BE273" s="579"/>
      <c r="BF273" s="577"/>
      <c r="BG273" s="582"/>
      <c r="BH273" s="398"/>
      <c r="BI273" s="579"/>
      <c r="BJ273" s="138"/>
    </row>
    <row r="274" spans="1:62" ht="15" customHeight="1">
      <c r="B274" s="667"/>
      <c r="C274" s="871" t="str">
        <f>IF(Tool!$H$7="Français",G274,IF(Tool!$H$7="Italiano",I274,E274))</f>
        <v>Unterstützt die geplante Ladeinfrastruktur bidirektionale Ladeströme?</v>
      </c>
      <c r="D274" s="667"/>
      <c r="E274" s="562" t="s">
        <v>1963</v>
      </c>
      <c r="F274" s="667"/>
      <c r="G274" s="563" t="s">
        <v>1964</v>
      </c>
      <c r="H274" s="667"/>
      <c r="I274" s="562" t="s">
        <v>1965</v>
      </c>
      <c r="J274" s="667"/>
      <c r="K274" s="564"/>
      <c r="L274" s="565"/>
      <c r="M274" s="565"/>
      <c r="N274" s="565"/>
      <c r="O274" s="565"/>
      <c r="P274" s="566"/>
      <c r="Q274" s="667"/>
      <c r="R274" s="564"/>
      <c r="S274" s="565"/>
      <c r="T274" s="565"/>
      <c r="U274" s="565"/>
      <c r="V274" s="572"/>
      <c r="W274" s="568"/>
      <c r="X274" s="667"/>
      <c r="Y274" s="564"/>
      <c r="Z274" s="565"/>
      <c r="AA274" s="565"/>
      <c r="AB274" s="565"/>
      <c r="AC274" s="572"/>
      <c r="AD274" s="568"/>
      <c r="AE274" s="138"/>
      <c r="AF274" s="335"/>
      <c r="AG274" s="340"/>
      <c r="AH274" s="766"/>
      <c r="AI274" s="340"/>
      <c r="AJ274" s="43">
        <f>AJ271/3</f>
        <v>0.33333333333333331</v>
      </c>
      <c r="AK274" s="43">
        <f t="shared" si="52"/>
        <v>9.9999999999999992E-2</v>
      </c>
      <c r="AL274" s="43">
        <v>0</v>
      </c>
      <c r="AM274" s="44"/>
      <c r="AN274" s="44"/>
      <c r="AO274" s="44" t="str">
        <f>IF(Check!S807=$AQ$4,AJ274,IF(Check!S807=$AQ$6,AK274,IF(OR(Check!S807=$AQ$5,AO271=""),AL274,"NB")))</f>
        <v>NB</v>
      </c>
      <c r="AP274" s="44"/>
      <c r="AQ274" s="44"/>
      <c r="AR274" s="44"/>
      <c r="AS274" s="41"/>
      <c r="AT274" s="41"/>
      <c r="AU274" s="41"/>
      <c r="AV274" s="442"/>
      <c r="AW274" s="44"/>
      <c r="AX274" s="41"/>
      <c r="AY274" s="42"/>
      <c r="AZ274" s="41"/>
      <c r="BA274" s="42"/>
      <c r="BB274" s="577"/>
      <c r="BC274" s="582"/>
      <c r="BD274" s="398"/>
      <c r="BE274" s="579"/>
      <c r="BF274" s="577"/>
      <c r="BG274" s="582"/>
      <c r="BH274" s="398"/>
      <c r="BI274" s="579"/>
      <c r="BJ274" s="138"/>
    </row>
    <row r="275" spans="1:62" ht="15" customHeight="1">
      <c r="A275" s="138"/>
      <c r="B275" s="666"/>
      <c r="C275" s="868" t="str">
        <f>IF(Tool!$H$7="Français",G275,IF(Tool!$H$7="Italiano",I275,E275))</f>
        <v>Natur und Landschaft</v>
      </c>
      <c r="D275" s="666"/>
      <c r="E275" s="560" t="s">
        <v>4</v>
      </c>
      <c r="F275" s="666"/>
      <c r="G275" s="561" t="s">
        <v>42</v>
      </c>
      <c r="H275" s="666"/>
      <c r="I275" s="561" t="s">
        <v>864</v>
      </c>
      <c r="J275" s="666"/>
      <c r="K275" s="961" t="str">
        <f>E275</f>
        <v>Natur und Landschaft</v>
      </c>
      <c r="L275" s="962"/>
      <c r="M275" s="962"/>
      <c r="N275" s="962"/>
      <c r="O275" s="962"/>
      <c r="P275" s="963"/>
      <c r="Q275" s="666"/>
      <c r="R275" s="961" t="str">
        <f>G275</f>
        <v>Nature et paysage</v>
      </c>
      <c r="S275" s="962"/>
      <c r="T275" s="962"/>
      <c r="U275" s="962"/>
      <c r="V275" s="962"/>
      <c r="W275" s="963"/>
      <c r="X275" s="666"/>
      <c r="Y275" s="964" t="str">
        <f>I275</f>
        <v>Natura e paesaggio</v>
      </c>
      <c r="Z275" s="965"/>
      <c r="AA275" s="965"/>
      <c r="AB275" s="965"/>
      <c r="AC275" s="965"/>
      <c r="AD275" s="966"/>
      <c r="AE275" s="138"/>
      <c r="AF275" s="1096">
        <f>AQ55</f>
        <v>335</v>
      </c>
      <c r="AG275" s="1097" t="str">
        <f>AR55</f>
        <v>Mobilitätsmassnahmen</v>
      </c>
      <c r="AH275" s="1098"/>
      <c r="AI275" s="1099"/>
      <c r="AJ275" s="1092">
        <v>1</v>
      </c>
      <c r="AK275" s="1074" t="s">
        <v>46</v>
      </c>
      <c r="AL275" s="1075">
        <v>0</v>
      </c>
      <c r="AM275" s="1076"/>
      <c r="AN275" s="1076"/>
      <c r="AO275" s="1076" t="str">
        <f>IF(Check!S810=$AQ$4,AJ275,IF(OR(Check!S810=$AQ$6,Check!S810=$AQ$5),AL275,"NB"))</f>
        <v>NB</v>
      </c>
      <c r="AP275" s="1077"/>
      <c r="AQ275" s="1076" t="str">
        <f>IF(AP275=1,1,
IF(AO275=1,1,
IF(COUNTIF(AO276:AO280,"NB"),"NB",
IF(SUM(AO276:AO280)&gt;1,1,
IF(AND(SUM(AO276:AO280)&gt;=0,SUM(AO276:AO280)&lt;=1),SUM(AO276:AO280),"NB")))))</f>
        <v>NB</v>
      </c>
      <c r="AR275" s="1076"/>
      <c r="AS275" s="1078" t="str">
        <f>IF(AQ275="NB","NB",AQ275)</f>
        <v>NB</v>
      </c>
      <c r="AT275" s="1100"/>
      <c r="AU275" s="1101"/>
      <c r="AV275" s="701"/>
      <c r="AW275" s="655" t="str">
        <f>AS275</f>
        <v>NB</v>
      </c>
      <c r="AX275" s="700"/>
      <c r="AY275" s="1493"/>
      <c r="AZ275" s="37"/>
      <c r="BA275" s="1494" t="str">
        <f>AW275</f>
        <v>NB</v>
      </c>
      <c r="BB275" s="577" t="str">
        <f>IF($AS$275="NB","",
IF($AS$275&gt;=0.85,AF275&amp;" "&amp;AG275&amp;"; ",""))</f>
        <v/>
      </c>
      <c r="BC275" s="582" t="str">
        <f>IF($AS$275="NB","",
IF(AND($AS$275&gt;=0.65,$AS$275&lt;0.85),AF275&amp;" "&amp;AG275&amp;"; ",""))</f>
        <v/>
      </c>
      <c r="BD275" s="398" t="str">
        <f>IF($AS$275="NB","",
IF(AND($AS$275&gt;=0.5,$AS$275&lt;0.65),AF275&amp;" "&amp;AG275&amp;"; ",""))</f>
        <v/>
      </c>
      <c r="BE275" s="579" t="str">
        <f>IF($AS$275="NB","",
IF($AS$275&lt;0.5,AF275&amp;" "&amp;AG275&amp;"; ",""))</f>
        <v/>
      </c>
      <c r="BF275" s="577" t="str">
        <f>IF($AS$275="NB","",
IF($AS$275&gt;=0.85,AF275&amp;" ",""))</f>
        <v/>
      </c>
      <c r="BG275" s="582" t="str">
        <f>IF($AS$275="NB","",
IF(AND($AS$275&gt;=0.65,$AS$275&lt;0.85),AF275&amp;" ",""))</f>
        <v/>
      </c>
      <c r="BH275" s="398" t="str">
        <f>IF($AS$275="NB","",
IF(AND($AS$275&gt;=0.5,$AS$275&lt;0.65),AF275&amp;" ",""))</f>
        <v/>
      </c>
      <c r="BI275" s="579" t="str">
        <f>IF($AS$275="NB","",
IF($AS$275&lt;0.5,AF275&amp;" ",""))</f>
        <v/>
      </c>
      <c r="BJ275" s="138"/>
    </row>
    <row r="276" spans="1:62" ht="15" customHeight="1">
      <c r="A276" s="138"/>
      <c r="B276" s="667">
        <v>341</v>
      </c>
      <c r="C276" s="871" t="str">
        <f>IF(Tool!$H$7="Français",G276,IF(Tool!$H$7="Italiano",I276,E276))</f>
        <v>Wird durch den Beizug einer Fachperson das natürliche Potenzial an Flora und Fauna ausgeschöpft, um den Schutz heimischer Tier- und Pflanzenarten sicherzustellen?</v>
      </c>
      <c r="D276" s="667">
        <f>$B276</f>
        <v>341</v>
      </c>
      <c r="E276" s="562" t="s">
        <v>1029</v>
      </c>
      <c r="F276" s="667">
        <f>$B276</f>
        <v>341</v>
      </c>
      <c r="G276" s="563" t="s">
        <v>1030</v>
      </c>
      <c r="H276" s="667">
        <f>$B276</f>
        <v>341</v>
      </c>
      <c r="I276" s="563" t="s">
        <v>1843</v>
      </c>
      <c r="J276" s="667">
        <f>$B276</f>
        <v>341</v>
      </c>
      <c r="K276" s="564"/>
      <c r="L276" s="565"/>
      <c r="M276" s="565"/>
      <c r="N276" s="565"/>
      <c r="O276" s="565"/>
      <c r="P276" s="566"/>
      <c r="Q276" s="667">
        <f>$B276</f>
        <v>341</v>
      </c>
      <c r="R276" s="564"/>
      <c r="S276" s="565"/>
      <c r="T276" s="565"/>
      <c r="U276" s="565"/>
      <c r="V276" s="572"/>
      <c r="W276" s="568"/>
      <c r="X276" s="667">
        <f>$B276</f>
        <v>341</v>
      </c>
      <c r="Y276" s="564"/>
      <c r="Z276" s="565"/>
      <c r="AA276" s="565"/>
      <c r="AB276" s="565"/>
      <c r="AC276" s="572"/>
      <c r="AD276" s="568"/>
      <c r="AE276" s="138"/>
      <c r="AF276" s="335"/>
      <c r="AG276" s="340"/>
      <c r="AH276" s="766"/>
      <c r="AI276" s="340"/>
      <c r="AJ276" s="43">
        <f>1/5</f>
        <v>0.2</v>
      </c>
      <c r="AK276" s="43">
        <f>AJ276*0.3</f>
        <v>0.06</v>
      </c>
      <c r="AL276" s="43">
        <v>0</v>
      </c>
      <c r="AM276" s="44"/>
      <c r="AN276" s="44"/>
      <c r="AO276" s="44" t="str">
        <f>IF(Check!S813=$AQ$4,AJ276,IF(Check!S813=$AQ$6,AK276,IF(OR(Check!S813=$AQ$5,AO275=""),AL276,"NB")))</f>
        <v>NB</v>
      </c>
      <c r="AP276" s="44"/>
      <c r="AQ276" s="44"/>
      <c r="AR276" s="44"/>
      <c r="AS276" s="41"/>
      <c r="AT276" s="41"/>
      <c r="AU276" s="41"/>
      <c r="AV276" s="442"/>
      <c r="AW276" s="44"/>
      <c r="AX276" s="41"/>
      <c r="AY276" s="42"/>
      <c r="AZ276" s="41"/>
      <c r="BA276" s="42"/>
      <c r="BB276" s="577"/>
      <c r="BC276" s="582"/>
      <c r="BD276" s="398"/>
      <c r="BE276" s="579"/>
      <c r="BF276" s="577"/>
      <c r="BG276" s="582"/>
      <c r="BH276" s="398"/>
      <c r="BI276" s="579"/>
      <c r="BJ276" s="138"/>
    </row>
    <row r="277" spans="1:62" ht="15" customHeight="1">
      <c r="A277" s="138"/>
      <c r="B277" s="667"/>
      <c r="C277" s="871" t="str">
        <f>IF(Tool!$H$7="Français",G277,IF(Tool!$H$7="Italiano",I277,E277))</f>
        <v>Wird eine Analyse von vorhandenen Naturwerten in der Umgebung (inventarisierte Flächen, seltene und geschützte Arten) durchgeführt?</v>
      </c>
      <c r="D277" s="667"/>
      <c r="E277" s="562" t="s">
        <v>1023</v>
      </c>
      <c r="F277" s="667"/>
      <c r="G277" s="563" t="s">
        <v>1986</v>
      </c>
      <c r="H277" s="667"/>
      <c r="I277" s="563" t="s">
        <v>1035</v>
      </c>
      <c r="J277" s="667"/>
      <c r="K277" s="564"/>
      <c r="L277" s="565"/>
      <c r="M277" s="565"/>
      <c r="N277" s="565"/>
      <c r="O277" s="565"/>
      <c r="P277" s="566"/>
      <c r="Q277" s="667"/>
      <c r="R277" s="564"/>
      <c r="S277" s="565"/>
      <c r="T277" s="565"/>
      <c r="U277" s="565"/>
      <c r="V277" s="572"/>
      <c r="W277" s="568"/>
      <c r="X277" s="667"/>
      <c r="Y277" s="564"/>
      <c r="Z277" s="565"/>
      <c r="AA277" s="565"/>
      <c r="AB277" s="565"/>
      <c r="AC277" s="572"/>
      <c r="AD277" s="568"/>
      <c r="AE277" s="138"/>
      <c r="AF277" s="335"/>
      <c r="AG277" s="340"/>
      <c r="AH277" s="766"/>
      <c r="AI277" s="340"/>
      <c r="AJ277" s="43">
        <f>1/5</f>
        <v>0.2</v>
      </c>
      <c r="AK277" s="43">
        <f t="shared" ref="AK277" si="53">AJ277*0.3</f>
        <v>0.06</v>
      </c>
      <c r="AL277" s="43">
        <v>0</v>
      </c>
      <c r="AM277" s="44"/>
      <c r="AN277" s="44"/>
      <c r="AO277" s="44" t="str">
        <f>IF(Check!S816=$AQ$4,AJ277,IF(Check!S816=$AQ$6,AK277,IF(OR(Check!S816=$AQ$5,AO275=""),AL277,"NB")))</f>
        <v>NB</v>
      </c>
      <c r="AP277" s="44"/>
      <c r="AQ277" s="44"/>
      <c r="AR277" s="44"/>
      <c r="AS277" s="41"/>
      <c r="AT277" s="41"/>
      <c r="AU277" s="41"/>
      <c r="AV277" s="442"/>
      <c r="AW277" s="44"/>
      <c r="AX277" s="41"/>
      <c r="AY277" s="42"/>
      <c r="AZ277" s="41"/>
      <c r="BA277" s="42"/>
      <c r="BB277" s="577"/>
      <c r="BC277" s="582"/>
      <c r="BD277" s="398"/>
      <c r="BE277" s="579"/>
      <c r="BF277" s="577"/>
      <c r="BG277" s="582"/>
      <c r="BH277" s="398"/>
      <c r="BI277" s="579"/>
      <c r="BJ277" s="138"/>
    </row>
    <row r="278" spans="1:62" ht="15" customHeight="1">
      <c r="A278" s="138"/>
      <c r="B278" s="667"/>
      <c r="C278" s="871" t="str">
        <f>IF(Tool!$H$7="Français",G278,IF(Tool!$H$7="Italiano",I278,E278))</f>
        <v>Werden Lebensräume für heimische Tierarten in der Umgebung geschaffen und geschützt?</v>
      </c>
      <c r="D278" s="667"/>
      <c r="E278" s="562" t="s">
        <v>1622</v>
      </c>
      <c r="F278" s="667"/>
      <c r="G278" s="563" t="s">
        <v>1859</v>
      </c>
      <c r="H278" s="667"/>
      <c r="I278" s="563" t="s">
        <v>1034</v>
      </c>
      <c r="J278" s="667"/>
      <c r="K278" s="564"/>
      <c r="L278" s="565"/>
      <c r="M278" s="565"/>
      <c r="N278" s="565"/>
      <c r="O278" s="565"/>
      <c r="P278" s="566"/>
      <c r="Q278" s="667"/>
      <c r="R278" s="564"/>
      <c r="S278" s="565"/>
      <c r="T278" s="565"/>
      <c r="U278" s="565"/>
      <c r="V278" s="572"/>
      <c r="W278" s="568"/>
      <c r="X278" s="667"/>
      <c r="Y278" s="564"/>
      <c r="Z278" s="565"/>
      <c r="AA278" s="565"/>
      <c r="AB278" s="565"/>
      <c r="AC278" s="572"/>
      <c r="AD278" s="568"/>
      <c r="AE278" s="138"/>
      <c r="AF278" s="335"/>
      <c r="AG278" s="340"/>
      <c r="AH278" s="766"/>
      <c r="AI278" s="340"/>
      <c r="AJ278" s="43">
        <f>1/5</f>
        <v>0.2</v>
      </c>
      <c r="AK278" s="43">
        <v>0.06</v>
      </c>
      <c r="AL278" s="43">
        <v>0</v>
      </c>
      <c r="AM278" s="44"/>
      <c r="AN278" s="44"/>
      <c r="AO278" s="44" t="str">
        <f>IF(Check!S819=$AQ$4,AJ278,IF(Check!S819=$AQ$6,AK278,IF(OR(Check!S819=$AQ$5,AO275=""),AL278,"NB")))</f>
        <v>NB</v>
      </c>
      <c r="AP278" s="44"/>
      <c r="AQ278" s="44"/>
      <c r="AR278" s="44"/>
      <c r="AS278" s="41"/>
      <c r="AT278" s="41"/>
      <c r="AU278" s="41"/>
      <c r="AV278" s="442"/>
      <c r="AW278" s="44"/>
      <c r="AX278" s="41"/>
      <c r="AY278" s="42"/>
      <c r="AZ278" s="41"/>
      <c r="BA278" s="42"/>
      <c r="BB278" s="577"/>
      <c r="BC278" s="582"/>
      <c r="BD278" s="398"/>
      <c r="BE278" s="579"/>
      <c r="BF278" s="577"/>
      <c r="BG278" s="582"/>
      <c r="BH278" s="398"/>
      <c r="BI278" s="579"/>
      <c r="BJ278" s="138"/>
    </row>
    <row r="279" spans="1:62" ht="15" customHeight="1">
      <c r="A279" s="138"/>
      <c r="B279" s="667"/>
      <c r="C279" s="871" t="str">
        <f>IF(Tool!$H$7="Français",G279,IF(Tool!$H$7="Italiano",I279,E279))</f>
        <v>Werden mindestens 50 % der Umgebungs- und Dachflächen als naturnahen Lebensräumen gestaltet? (dazu gehören z. B. Gewässer, Hecken, Bäume, artenreiche Wiesen, Ruderalflächen, naturnah begrünte Dachflächen mit mind. 12 cm Substratstärke usw.)</v>
      </c>
      <c r="D279" s="667"/>
      <c r="E279" s="562" t="s">
        <v>1623</v>
      </c>
      <c r="F279" s="667"/>
      <c r="G279" s="563" t="s">
        <v>1026</v>
      </c>
      <c r="H279" s="667"/>
      <c r="I279" s="563" t="s">
        <v>1032</v>
      </c>
      <c r="J279" s="667"/>
      <c r="K279" s="564"/>
      <c r="L279" s="565"/>
      <c r="M279" s="565"/>
      <c r="N279" s="565"/>
      <c r="O279" s="565"/>
      <c r="P279" s="566"/>
      <c r="Q279" s="667"/>
      <c r="R279" s="564"/>
      <c r="S279" s="565"/>
      <c r="T279" s="565"/>
      <c r="U279" s="565"/>
      <c r="V279" s="572"/>
      <c r="W279" s="568"/>
      <c r="X279" s="667"/>
      <c r="Y279" s="564"/>
      <c r="Z279" s="565"/>
      <c r="AA279" s="565"/>
      <c r="AB279" s="565"/>
      <c r="AC279" s="572"/>
      <c r="AD279" s="568"/>
      <c r="AE279" s="138"/>
      <c r="AF279" s="335"/>
      <c r="AG279" s="340"/>
      <c r="AH279" s="766"/>
      <c r="AI279" s="340"/>
      <c r="AJ279" s="43">
        <f>1/5</f>
        <v>0.2</v>
      </c>
      <c r="AK279" s="43">
        <f t="shared" ref="AK279" si="54">AJ279*0.3</f>
        <v>0.06</v>
      </c>
      <c r="AL279" s="43">
        <v>0</v>
      </c>
      <c r="AM279" s="44"/>
      <c r="AN279" s="44"/>
      <c r="AO279" s="44" t="str">
        <f>IF(Check!S822=$AQ$4,AJ279,IF(Check!S822=$AQ$6,AK279,IF(OR(Check!S822=$AQ$5,AO275=""),AL279,"NB")))</f>
        <v>NB</v>
      </c>
      <c r="AP279" s="44"/>
      <c r="AQ279" s="44"/>
      <c r="AR279" s="44"/>
      <c r="AS279" s="41"/>
      <c r="AT279" s="41"/>
      <c r="AU279" s="41"/>
      <c r="AV279" s="442"/>
      <c r="AW279" s="44"/>
      <c r="AX279" s="41"/>
      <c r="AY279" s="42"/>
      <c r="AZ279" s="41"/>
      <c r="BA279" s="42"/>
      <c r="BB279" s="577"/>
      <c r="BC279" s="582"/>
      <c r="BD279" s="398"/>
      <c r="BE279" s="579"/>
      <c r="BF279" s="577"/>
      <c r="BG279" s="582"/>
      <c r="BH279" s="398"/>
      <c r="BI279" s="579"/>
      <c r="BJ279" s="138"/>
    </row>
    <row r="280" spans="1:62" ht="15" customHeight="1">
      <c r="A280" s="138"/>
      <c r="B280" s="667"/>
      <c r="C280" s="871" t="str">
        <f>IF(Tool!$H$7="Français",G280,IF(Tool!$H$7="Italiano",I280,E280))</f>
        <v>Erfolgt die Bepflanzung der Umgebungs-, Dach- und Fassadenflächen mit einheimischen und standortgerechten Arten?</v>
      </c>
      <c r="D280" s="667"/>
      <c r="E280" s="562" t="s">
        <v>1028</v>
      </c>
      <c r="F280" s="667"/>
      <c r="G280" s="563" t="s">
        <v>1860</v>
      </c>
      <c r="H280" s="667"/>
      <c r="I280" s="562" t="s">
        <v>1033</v>
      </c>
      <c r="J280" s="667"/>
      <c r="K280" s="564"/>
      <c r="L280" s="565"/>
      <c r="M280" s="565"/>
      <c r="N280" s="565"/>
      <c r="O280" s="565"/>
      <c r="P280" s="566"/>
      <c r="Q280" s="667"/>
      <c r="R280" s="564"/>
      <c r="S280" s="565"/>
      <c r="T280" s="565"/>
      <c r="U280" s="565"/>
      <c r="V280" s="572"/>
      <c r="W280" s="568"/>
      <c r="X280" s="667"/>
      <c r="Y280" s="564"/>
      <c r="Z280" s="565"/>
      <c r="AA280" s="565"/>
      <c r="AB280" s="565"/>
      <c r="AC280" s="572"/>
      <c r="AD280" s="568"/>
      <c r="AE280" s="138"/>
      <c r="AF280" s="335"/>
      <c r="AG280" s="340"/>
      <c r="AH280" s="766"/>
      <c r="AI280" s="340"/>
      <c r="AJ280" s="43">
        <f>1/5</f>
        <v>0.2</v>
      </c>
      <c r="AK280" s="43">
        <f>AJ280*0.3</f>
        <v>0.06</v>
      </c>
      <c r="AL280" s="43">
        <v>0</v>
      </c>
      <c r="AM280" s="44"/>
      <c r="AN280" s="44"/>
      <c r="AO280" s="44" t="str">
        <f>IF(Check!S825=$AQ$4,AJ280,IF(Check!S825=$AQ$6,AK280,IF(OR(Check!S825=$AQ$5,AO275=""),AL280,"NB")))</f>
        <v>NB</v>
      </c>
      <c r="AP280" s="44"/>
      <c r="AQ280" s="44"/>
      <c r="AR280" s="44"/>
      <c r="AS280" s="41"/>
      <c r="AT280" s="41"/>
      <c r="AU280" s="41"/>
      <c r="AV280" s="442"/>
      <c r="AW280" s="44"/>
      <c r="AX280" s="1"/>
      <c r="AY280" s="38"/>
      <c r="AZ280" s="1"/>
      <c r="BA280" s="38"/>
      <c r="BB280" s="577"/>
      <c r="BC280" s="582"/>
      <c r="BD280" s="398"/>
      <c r="BE280" s="579"/>
      <c r="BF280" s="577"/>
      <c r="BG280" s="582"/>
      <c r="BH280" s="398"/>
      <c r="BI280" s="579"/>
      <c r="BJ280" s="138"/>
    </row>
    <row r="281" spans="1:62" ht="15" customHeight="1">
      <c r="A281" s="138"/>
      <c r="B281" s="667"/>
      <c r="C281" s="871" t="str">
        <f>IF(Tool!$H$7="Français",G281,IF(Tool!$H$7="Italiano",I281,E281))</f>
        <v>Werden auf mindestens 10 % der Umgebungsflächen Gehölzbestände (Hecken, Baumreihen, und -gruppen) aus ausschliesslich einheimischen, standortgerechten und klimawandelfähigen Arten vorgesehen?</v>
      </c>
      <c r="D281" s="667"/>
      <c r="E281" s="562" t="s">
        <v>1024</v>
      </c>
      <c r="F281" s="667"/>
      <c r="G281" s="563" t="s">
        <v>1025</v>
      </c>
      <c r="H281" s="667"/>
      <c r="I281" s="562" t="s">
        <v>1844</v>
      </c>
      <c r="J281" s="667"/>
      <c r="K281" s="564"/>
      <c r="L281" s="565"/>
      <c r="M281" s="565"/>
      <c r="N281" s="565"/>
      <c r="O281" s="565"/>
      <c r="P281" s="566"/>
      <c r="Q281" s="667"/>
      <c r="R281" s="564"/>
      <c r="S281" s="565"/>
      <c r="T281" s="565"/>
      <c r="U281" s="565"/>
      <c r="V281" s="572"/>
      <c r="W281" s="568"/>
      <c r="X281" s="667"/>
      <c r="Y281" s="564"/>
      <c r="Z281" s="565"/>
      <c r="AA281" s="565"/>
      <c r="AB281" s="565"/>
      <c r="AC281" s="572"/>
      <c r="AD281" s="568"/>
      <c r="AE281" s="138" t="s">
        <v>28</v>
      </c>
      <c r="AF281" s="576">
        <f>AQ56</f>
        <v>336</v>
      </c>
      <c r="AG281" s="777" t="str">
        <f>AR56</f>
        <v>Elektro-Mobilität</v>
      </c>
      <c r="AH281" s="1098"/>
      <c r="AI281" s="1099"/>
      <c r="AJ281" s="1092">
        <v>1</v>
      </c>
      <c r="AK281" s="1074" t="s">
        <v>46</v>
      </c>
      <c r="AL281" s="1075">
        <v>0</v>
      </c>
      <c r="AM281" s="1076"/>
      <c r="AN281" s="1076"/>
      <c r="AO281" s="1076" t="str">
        <f>IF(Check!S828=$AQ$4,AJ281,IF(OR(Check!S828=$AQ$6,Check!S828=$AQ$5),AL281,"NB"))</f>
        <v>NB</v>
      </c>
      <c r="AP281" s="1077"/>
      <c r="AQ281" s="1076" t="str">
        <f>IF(AP281=1,1,
IF(AO281=1,1,
IF(COUNTIF(AO282:AO285,"NB"),"NB",
IF(SUM(AO282:AO285)&gt;1,1,
IF(AND(SUM(AO282:AO285)&gt;=0,SUM(AO282:AO285)&lt;=1),SUM(AO282:AO285),"NB")))))</f>
        <v>NB</v>
      </c>
      <c r="AR281" s="1076"/>
      <c r="AS281" s="1078" t="str">
        <f>IF(AQ281="NB","NB",AQ281)</f>
        <v>NB</v>
      </c>
      <c r="AT281" s="1076"/>
      <c r="AU281" s="1076"/>
      <c r="AV281" s="701"/>
      <c r="AW281" s="655" t="str">
        <f>AS281</f>
        <v>NB</v>
      </c>
      <c r="AX281" s="700"/>
      <c r="AY281" s="1493"/>
      <c r="AZ281" s="37"/>
      <c r="BA281" s="1494" t="str">
        <f>AW281</f>
        <v>NB</v>
      </c>
      <c r="BB281" s="577" t="str">
        <f>IF($AS$281="NB","",
IF($AS$281&gt;=0.85,AF281&amp;" "&amp;AG281&amp;"; ",""))</f>
        <v/>
      </c>
      <c r="BC281" s="582" t="str">
        <f>IF($AS$281="NB","",
IF(AND($AS$281&gt;=0.65,$AS$281&lt;0.85),AF281&amp;" "&amp;AG281&amp;"; ",""))</f>
        <v/>
      </c>
      <c r="BD281" s="398" t="str">
        <f>IF($AS$281="NB","",
IF(AND($AS$281&gt;=0.5,$AS$281&lt;0.65),AF281&amp;" "&amp;AG281&amp;"; ",""))</f>
        <v/>
      </c>
      <c r="BE281" s="579" t="str">
        <f>IF($AS$281="NB","",
IF($AS$281&lt;0.5,AF281&amp;" "&amp;AG281&amp;"; ",""))</f>
        <v/>
      </c>
      <c r="BF281" s="577" t="str">
        <f>IF($AS$281="NB","",
IF($AS$281&gt;=0.85,AF281&amp;" ",""))</f>
        <v/>
      </c>
      <c r="BG281" s="582" t="str">
        <f>IF($AS$281="NB","",
IF(AND($AS$281&gt;=0.65,$AS$281&lt;0.85),AF281&amp;" ",""))</f>
        <v/>
      </c>
      <c r="BH281" s="398" t="str">
        <f>IF($AS$281="NB","",
IF(AND($AS$281&gt;=0.5,$AS$281&lt;0.65),AF281&amp;" ",""))</f>
        <v/>
      </c>
      <c r="BI281" s="579" t="str">
        <f>IF($AS$281="NB","",
IF($AS$281&lt;0.5,AF281&amp;" ",""))</f>
        <v/>
      </c>
      <c r="BJ281" s="138"/>
    </row>
    <row r="282" spans="1:62" ht="15" customHeight="1">
      <c r="A282" s="138"/>
      <c r="B282" s="667"/>
      <c r="C282" s="871" t="str">
        <f>IF(Tool!$H$7="Français",G282,IF(Tool!$H$7="Italiano",I282,E282))</f>
        <v>Werden Barrieren für Kleintiere an der Parzellengrenze (z. B. Mauern, engmaschige Zäune bis zum Boden) und Tierfallen bewusst vermieden?</v>
      </c>
      <c r="D282" s="667"/>
      <c r="E282" s="562" t="s">
        <v>759</v>
      </c>
      <c r="F282" s="667"/>
      <c r="G282" s="563" t="s">
        <v>1027</v>
      </c>
      <c r="H282" s="667"/>
      <c r="I282" s="562" t="s">
        <v>1031</v>
      </c>
      <c r="J282" s="667"/>
      <c r="K282" s="564"/>
      <c r="L282" s="565"/>
      <c r="M282" s="565"/>
      <c r="N282" s="565"/>
      <c r="O282" s="565"/>
      <c r="P282" s="566"/>
      <c r="Q282" s="667"/>
      <c r="R282" s="564"/>
      <c r="S282" s="565"/>
      <c r="T282" s="565"/>
      <c r="U282" s="565"/>
      <c r="V282" s="572"/>
      <c r="W282" s="568"/>
      <c r="X282" s="667"/>
      <c r="Y282" s="564"/>
      <c r="Z282" s="565"/>
      <c r="AA282" s="565"/>
      <c r="AB282" s="565"/>
      <c r="AC282" s="572"/>
      <c r="AD282" s="568"/>
      <c r="AE282" s="138" t="s">
        <v>28</v>
      </c>
      <c r="AF282" s="335"/>
      <c r="AG282" s="340"/>
      <c r="AH282" s="781"/>
      <c r="AI282" s="778"/>
      <c r="AJ282" s="397">
        <f>0.3</f>
        <v>0.3</v>
      </c>
      <c r="AK282" s="43">
        <f t="shared" ref="AK282:AK284" si="55">AJ282*0.3</f>
        <v>0.09</v>
      </c>
      <c r="AL282" s="43">
        <v>0</v>
      </c>
      <c r="AM282" s="44"/>
      <c r="AN282" s="44"/>
      <c r="AO282" s="44" t="str">
        <f>IF(Check!S831=$AQ$4,AJ282,IF(Check!S831=$AQ$6,AK282,IF(OR(Check!S831=$AQ$5,AO281=""),AL282,"NB")))</f>
        <v>NB</v>
      </c>
      <c r="AP282" s="44"/>
      <c r="AQ282" s="44"/>
      <c r="AR282" s="44"/>
      <c r="AS282" s="41"/>
      <c r="AT282" s="41"/>
      <c r="AU282" s="41"/>
      <c r="AV282" s="442"/>
      <c r="AW282" s="44"/>
      <c r="AX282" s="41"/>
      <c r="AY282" s="38"/>
      <c r="AZ282" s="41"/>
      <c r="BA282" s="38"/>
      <c r="BB282" s="577"/>
      <c r="BC282" s="582"/>
      <c r="BD282" s="398"/>
      <c r="BE282" s="579"/>
      <c r="BF282" s="577"/>
      <c r="BG282" s="582"/>
      <c r="BH282" s="398"/>
      <c r="BI282" s="579"/>
      <c r="BJ282" s="138"/>
    </row>
    <row r="283" spans="1:62" ht="15" customHeight="1">
      <c r="A283" s="138"/>
      <c r="B283" s="667">
        <v>342</v>
      </c>
      <c r="C283" s="871" t="str">
        <f>IF(Tool!$H$7="Français",G283,IF(Tool!$H$7="Italiano",I283,E283))</f>
        <v>Wird beim Bauprojekt ein naturnaher Umgang mit der Ressource Wasser gefördert, indem die Einleitung von Niederschlagwasser in die Kanalisation sowie von Schadstoffen ins Grundwasser bewusst vermieden werden und Massnahmen zur Einsparung von Trinkwasser ergriffen werden?</v>
      </c>
      <c r="D283" s="667">
        <f>$B283</f>
        <v>342</v>
      </c>
      <c r="E283" s="562" t="s">
        <v>1037</v>
      </c>
      <c r="F283" s="667">
        <f>$B283</f>
        <v>342</v>
      </c>
      <c r="G283" s="563" t="s">
        <v>1038</v>
      </c>
      <c r="H283" s="667">
        <f>$B283</f>
        <v>342</v>
      </c>
      <c r="I283" s="563" t="s">
        <v>1044</v>
      </c>
      <c r="J283" s="667">
        <f>$B283</f>
        <v>342</v>
      </c>
      <c r="K283" s="564"/>
      <c r="L283" s="565" t="s">
        <v>159</v>
      </c>
      <c r="M283" s="565"/>
      <c r="N283" s="565"/>
      <c r="O283" s="565"/>
      <c r="P283" s="566"/>
      <c r="Q283" s="667">
        <f>$B283</f>
        <v>342</v>
      </c>
      <c r="R283" s="564"/>
      <c r="S283" s="565" t="s">
        <v>282</v>
      </c>
      <c r="T283" s="565"/>
      <c r="U283" s="565"/>
      <c r="V283" s="572"/>
      <c r="W283" s="568"/>
      <c r="X283" s="667">
        <f>$B283</f>
        <v>342</v>
      </c>
      <c r="Y283" s="564"/>
      <c r="Z283" s="565" t="s">
        <v>1823</v>
      </c>
      <c r="AA283" s="565"/>
      <c r="AB283" s="565"/>
      <c r="AC283" s="572"/>
      <c r="AD283" s="568"/>
      <c r="AE283" s="138"/>
      <c r="AF283" s="409"/>
      <c r="AG283" s="769"/>
      <c r="AH283" s="781"/>
      <c r="AI283" s="778"/>
      <c r="AJ283" s="397">
        <f>0.3</f>
        <v>0.3</v>
      </c>
      <c r="AK283" s="43">
        <f t="shared" si="55"/>
        <v>0.09</v>
      </c>
      <c r="AL283" s="43">
        <v>0</v>
      </c>
      <c r="AM283" s="44"/>
      <c r="AN283" s="44"/>
      <c r="AO283" s="44" t="str">
        <f>IF(Check!S834=$AQ$4,AJ283,IF(Check!S834=$AQ$6,AK283,IF(OR(Check!S834=$AQ$5,AO281=""),AL283,"NB")))</f>
        <v>NB</v>
      </c>
      <c r="AP283" s="981"/>
      <c r="AQ283" s="44"/>
      <c r="AR283" s="44"/>
      <c r="AS283" s="146"/>
      <c r="AT283" s="1"/>
      <c r="AU283" s="1"/>
      <c r="AV283" s="442"/>
      <c r="AW283" s="44"/>
      <c r="AX283" s="1"/>
      <c r="AY283" s="38"/>
      <c r="AZ283" s="1"/>
      <c r="BA283" s="38"/>
      <c r="BB283" s="577"/>
      <c r="BC283" s="582"/>
      <c r="BD283" s="398"/>
      <c r="BE283" s="579"/>
      <c r="BF283" s="577"/>
      <c r="BG283" s="582"/>
      <c r="BH283" s="398"/>
      <c r="BI283" s="579"/>
      <c r="BJ283" s="138"/>
    </row>
    <row r="284" spans="1:62" ht="15" customHeight="1">
      <c r="A284" s="138"/>
      <c r="B284" s="667"/>
      <c r="C284" s="871" t="str">
        <f>IF(Tool!$H$7="Français",G284,IF(Tool!$H$7="Italiano",I284,E284))</f>
        <v>Kann das Niederschlagswasser auf der Parzelle und Umgebungsflächen in den Untergrund geführt werden? (z. B. oberirdisch über begrünte Flächen, humusierte Mulden oder unterirdisch über Rigolen, Regenrückhaltebecken)</v>
      </c>
      <c r="D284" s="667"/>
      <c r="E284" s="562" t="s">
        <v>1439</v>
      </c>
      <c r="F284" s="667"/>
      <c r="G284" s="563" t="s">
        <v>1036</v>
      </c>
      <c r="H284" s="667"/>
      <c r="I284" s="563" t="s">
        <v>1047</v>
      </c>
      <c r="J284" s="667"/>
      <c r="K284" s="564"/>
      <c r="L284" s="565" t="s">
        <v>336</v>
      </c>
      <c r="M284" s="565"/>
      <c r="N284" s="565"/>
      <c r="O284" s="565"/>
      <c r="P284" s="566"/>
      <c r="Q284" s="667"/>
      <c r="R284" s="564"/>
      <c r="S284" s="565" t="s">
        <v>389</v>
      </c>
      <c r="T284" s="565"/>
      <c r="U284" s="565"/>
      <c r="V284" s="572"/>
      <c r="W284" s="568"/>
      <c r="X284" s="667"/>
      <c r="Y284" s="564"/>
      <c r="Z284" s="565" t="s">
        <v>1824</v>
      </c>
      <c r="AA284" s="565"/>
      <c r="AB284" s="565"/>
      <c r="AC284" s="572"/>
      <c r="AD284" s="568"/>
      <c r="AE284" s="138" t="s">
        <v>28</v>
      </c>
      <c r="AF284" s="335"/>
      <c r="AG284" s="340"/>
      <c r="AH284" s="781"/>
      <c r="AI284" s="778"/>
      <c r="AJ284" s="397">
        <f>0.2</f>
        <v>0.2</v>
      </c>
      <c r="AK284" s="43">
        <f t="shared" si="55"/>
        <v>0.06</v>
      </c>
      <c r="AL284" s="43">
        <v>0</v>
      </c>
      <c r="AM284" s="44"/>
      <c r="AN284" s="44"/>
      <c r="AO284" s="44" t="str">
        <f>IF(Check!S837=$AQ$4,AJ284,IF(Check!S837=$AQ$6,AK284,IF(OR(Check!S837=$AQ$5,AO281=""),AL284,"NB")))</f>
        <v>NB</v>
      </c>
      <c r="AP284" s="44"/>
      <c r="AQ284" s="44"/>
      <c r="AR284" s="44"/>
      <c r="AS284" s="41"/>
      <c r="AT284" s="41"/>
      <c r="AU284" s="41"/>
      <c r="AV284" s="442"/>
      <c r="AW284" s="44"/>
      <c r="AX284" s="1"/>
      <c r="AY284" s="38"/>
      <c r="AZ284" s="1"/>
      <c r="BA284" s="38"/>
      <c r="BB284" s="577"/>
      <c r="BC284" s="582"/>
      <c r="BD284" s="398"/>
      <c r="BE284" s="579"/>
      <c r="BF284" s="577"/>
      <c r="BG284" s="582"/>
      <c r="BH284" s="398"/>
      <c r="BI284" s="579"/>
      <c r="BJ284" s="138"/>
    </row>
    <row r="285" spans="1:62" ht="15" customHeight="1">
      <c r="A285" s="138"/>
      <c r="B285" s="667"/>
      <c r="C285" s="871" t="str">
        <f>IF(Tool!$H$7="Français",G285,IF(Tool!$H$7="Italiano",I285,E285))</f>
        <v>Sind oberirdische Retentionsanlagen vorgesehen? (z. B. Dachbegrünung, Regenrückhaltebecken, Retentionsmulden)</v>
      </c>
      <c r="D285" s="667"/>
      <c r="E285" s="562" t="s">
        <v>760</v>
      </c>
      <c r="F285" s="667"/>
      <c r="G285" s="563" t="s">
        <v>1039</v>
      </c>
      <c r="H285" s="667"/>
      <c r="I285" s="563" t="s">
        <v>1048</v>
      </c>
      <c r="J285" s="667"/>
      <c r="K285" s="564"/>
      <c r="L285" s="565"/>
      <c r="M285" s="565"/>
      <c r="N285" s="565"/>
      <c r="O285" s="565"/>
      <c r="P285" s="566"/>
      <c r="Q285" s="667"/>
      <c r="R285" s="564"/>
      <c r="S285" s="565"/>
      <c r="T285" s="565"/>
      <c r="U285" s="565"/>
      <c r="V285" s="572"/>
      <c r="W285" s="568"/>
      <c r="X285" s="667"/>
      <c r="Y285" s="564"/>
      <c r="Z285" s="565"/>
      <c r="AA285" s="565"/>
      <c r="AB285" s="565"/>
      <c r="AC285" s="572"/>
      <c r="AD285" s="568"/>
      <c r="AE285" s="138" t="s">
        <v>28</v>
      </c>
      <c r="AF285" s="335"/>
      <c r="AG285" s="340"/>
      <c r="AH285" s="781"/>
      <c r="AI285" s="778"/>
      <c r="AJ285" s="397">
        <f>0.2</f>
        <v>0.2</v>
      </c>
      <c r="AK285" s="43">
        <f t="shared" ref="AK285" si="56">AJ285*0.3</f>
        <v>0.06</v>
      </c>
      <c r="AL285" s="43">
        <v>0</v>
      </c>
      <c r="AM285" s="44"/>
      <c r="AN285" s="44"/>
      <c r="AO285" s="44" t="str">
        <f>IF(Check!S840=$AQ$4,AJ285,IF(Check!S840=$AQ$6,AK285,IF(OR(Check!S840=$AQ$5,AO281=""),AL285,"NB")))</f>
        <v>NB</v>
      </c>
      <c r="AP285" s="44"/>
      <c r="AQ285" s="44"/>
      <c r="AR285" s="44"/>
      <c r="AS285" s="41"/>
      <c r="AT285" s="41"/>
      <c r="AU285" s="41"/>
      <c r="AV285" s="442"/>
      <c r="AW285" s="44"/>
      <c r="AX285" s="1"/>
      <c r="AY285" s="38"/>
      <c r="AZ285" s="1"/>
      <c r="BA285" s="38"/>
      <c r="BB285" s="577"/>
      <c r="BC285" s="582"/>
      <c r="BD285" s="398"/>
      <c r="BE285" s="579"/>
      <c r="BF285" s="577"/>
      <c r="BG285" s="582"/>
      <c r="BH285" s="398"/>
      <c r="BI285" s="579"/>
      <c r="BJ285" s="138"/>
    </row>
    <row r="286" spans="1:62" ht="15" customHeight="1">
      <c r="A286" s="138"/>
      <c r="B286" s="667"/>
      <c r="C286" s="871" t="str">
        <f>IF(Tool!$H$7="Français",G286,IF(Tool!$H$7="Italiano",I286,E286))</f>
        <v>Wird Niederschlagwasser bewusst in unter- oder oberirdischen Behältern gesammelt (z. B. Zisternen, Regentonnen) und wieder genutzt (z. B. für WC-Spülung, Pflanzengiessen oder Kühlwasser)?</v>
      </c>
      <c r="D286" s="667"/>
      <c r="E286" s="562" t="s">
        <v>761</v>
      </c>
      <c r="F286" s="667"/>
      <c r="G286" s="563" t="s">
        <v>391</v>
      </c>
      <c r="H286" s="667"/>
      <c r="I286" s="563" t="s">
        <v>1049</v>
      </c>
      <c r="J286" s="667"/>
      <c r="K286" s="564"/>
      <c r="L286" s="565"/>
      <c r="M286" s="565"/>
      <c r="N286" s="565"/>
      <c r="O286" s="565"/>
      <c r="P286" s="566"/>
      <c r="Q286" s="667"/>
      <c r="R286" s="564"/>
      <c r="S286" s="565"/>
      <c r="T286" s="565"/>
      <c r="U286" s="565"/>
      <c r="V286" s="572"/>
      <c r="W286" s="568"/>
      <c r="X286" s="667"/>
      <c r="Y286" s="564"/>
      <c r="Z286" s="565"/>
      <c r="AA286" s="565"/>
      <c r="AB286" s="565"/>
      <c r="AC286" s="572"/>
      <c r="AD286" s="568"/>
      <c r="AE286" s="138"/>
      <c r="AF286" s="1080">
        <f>AQ57</f>
        <v>341</v>
      </c>
      <c r="AG286" s="1081" t="str">
        <f>AR57</f>
        <v>Biodiversität</v>
      </c>
      <c r="AH286" s="1082"/>
      <c r="AI286" s="1083"/>
      <c r="AJ286" s="1090">
        <v>1</v>
      </c>
      <c r="AK286" s="1084" t="s">
        <v>46</v>
      </c>
      <c r="AL286" s="1085">
        <v>0</v>
      </c>
      <c r="AM286" s="1086"/>
      <c r="AN286" s="1086"/>
      <c r="AO286" s="1086" t="str">
        <f>IF(Check!S847=$AQ$4,AJ286,IF(OR(Check!S847=$AQ$6,Check!S847=$AQ$5),AL286,"NB"))</f>
        <v>NB</v>
      </c>
      <c r="AP286" s="1087"/>
      <c r="AQ286" s="1086" t="str">
        <f>IF(AP286=1,1,
IF(AO286=1,1,
IF(COUNTIF(AO287:AO292,"NB"),"NB",
IF(SUM(AO287:AO292)&gt;1,1,
IF(AND(SUM(AO287:AO292)&gt;=0,SUM(AO287:AO292)&lt;=1),SUM(AO287:AO292),"NB")))))</f>
        <v>NB</v>
      </c>
      <c r="AR286" s="1086"/>
      <c r="AS286" s="1088" t="str">
        <f>IF(AQ286="NB","NB",AQ286)</f>
        <v>NB</v>
      </c>
      <c r="AT286" s="1091" t="str">
        <f>IF(AND(AS286="NB",AS293="NB",AS303="NB"),"NB",SUM(AS286:AS306)/3)</f>
        <v>NB</v>
      </c>
      <c r="AU286" s="1106"/>
      <c r="AV286" s="1045"/>
      <c r="AW286" s="1484" t="str">
        <f>AS286</f>
        <v>NB</v>
      </c>
      <c r="AX286" s="1048" t="str">
        <f>IF(AND(AW286="NB",AW293="NB",AW299="NB"),"NB",SUM(AW286:AW306)/3)</f>
        <v>NB</v>
      </c>
      <c r="AY286" s="1011"/>
      <c r="AZ286" s="1091" t="str">
        <f>AW286</f>
        <v>NB</v>
      </c>
      <c r="BA286" s="1545"/>
      <c r="BB286" s="702" t="str">
        <f>IF($AS$286="NB","",
IF($AS$286&gt;=0.85,AF286&amp;" "&amp;AG286&amp;"; ",""))</f>
        <v/>
      </c>
      <c r="BC286" s="581" t="str">
        <f>IF($AS$286="NB","",
IF(AND($AS$286&gt;=0.65,$AS$286&lt;0.85),AF286&amp;" "&amp;AG286&amp;"; ",""))</f>
        <v/>
      </c>
      <c r="BD286" s="407" t="str">
        <f>IF($AS$286="NB","",
IF(AND($AS$286&gt;=0.5,$AS$286&lt;0.65),AF286&amp;" "&amp;AG286&amp;"; ",""))</f>
        <v/>
      </c>
      <c r="BE286" s="578" t="str">
        <f>IF($AS$286="NB","",
IF($AS$286&lt;0.5,AF286&amp;" "&amp;AG286&amp;"; ",""))</f>
        <v/>
      </c>
      <c r="BF286" s="702" t="str">
        <f>IF($AS$286="NB","",
IF($AS$286&gt;=0.85,AF286&amp;" ",""))</f>
        <v/>
      </c>
      <c r="BG286" s="581" t="str">
        <f>IF($AS$286="NB","",
IF(AND($AS$286&gt;=0.65,$AS$286&lt;0.85),AF286&amp;" ",""))</f>
        <v/>
      </c>
      <c r="BH286" s="407" t="str">
        <f>IF($AS$286="NB","",
IF(AND($AS$286&gt;=0.5,$AS$286&lt;0.65),AF286&amp;" ",""))</f>
        <v/>
      </c>
      <c r="BI286" s="578" t="str">
        <f>IF($AS$286="NB","",
IF($AS$286&lt;0.5,AF286&amp;" ",""))</f>
        <v/>
      </c>
      <c r="BJ286" s="138"/>
    </row>
    <row r="287" spans="1:62" ht="15" customHeight="1">
      <c r="A287" s="138"/>
      <c r="B287" s="667"/>
      <c r="C287" s="871" t="str">
        <f>IF(Tool!$H$7="Français",G287,IF(Tool!$H$7="Italiano",I287,E287))</f>
        <v>Wird auf die Verwendung von Bioziden bei der Gebäudehülle sowie auf den grossflächigen Einsatz von bewitterten, schwermetallenhaltigen Bauteilen verzichtet?</v>
      </c>
      <c r="D287" s="667"/>
      <c r="E287" s="562" t="s">
        <v>1040</v>
      </c>
      <c r="F287" s="667"/>
      <c r="G287" s="563" t="s">
        <v>1042</v>
      </c>
      <c r="H287" s="667"/>
      <c r="I287" s="563" t="s">
        <v>1045</v>
      </c>
      <c r="J287" s="667"/>
      <c r="K287" s="564"/>
      <c r="L287" s="565"/>
      <c r="M287" s="565"/>
      <c r="N287" s="565"/>
      <c r="O287" s="565"/>
      <c r="P287" s="566"/>
      <c r="Q287" s="667"/>
      <c r="R287" s="564"/>
      <c r="S287" s="565"/>
      <c r="T287" s="565"/>
      <c r="U287" s="565"/>
      <c r="V287" s="572"/>
      <c r="W287" s="568"/>
      <c r="X287" s="667"/>
      <c r="Y287" s="564"/>
      <c r="Z287" s="565"/>
      <c r="AA287" s="565"/>
      <c r="AB287" s="565"/>
      <c r="AC287" s="572"/>
      <c r="AD287" s="568"/>
      <c r="AE287" s="138" t="s">
        <v>28</v>
      </c>
      <c r="AF287" s="335"/>
      <c r="AG287" s="340"/>
      <c r="AH287" s="766"/>
      <c r="AI287" s="340"/>
      <c r="AJ287" s="43">
        <f>1/6</f>
        <v>0.16666666666666666</v>
      </c>
      <c r="AK287" s="43">
        <f>AJ287*0.3</f>
        <v>4.9999999999999996E-2</v>
      </c>
      <c r="AL287" s="43">
        <v>0</v>
      </c>
      <c r="AM287" s="44"/>
      <c r="AN287" s="44"/>
      <c r="AO287" s="44" t="str">
        <f>IF(Check!S850=$AQ$4,AJ287,IF(Check!S850=$AQ$6,AK287,IF(OR(Check!S850=$AQ$5,AO286=""),AL287,"NB")))</f>
        <v>NB</v>
      </c>
      <c r="AP287" s="44"/>
      <c r="AQ287" s="44"/>
      <c r="AR287" s="44"/>
      <c r="AS287" s="41"/>
      <c r="AT287" s="41"/>
      <c r="AU287" s="41"/>
      <c r="AV287" s="442"/>
      <c r="AW287" s="44"/>
      <c r="AX287" s="41" t="s">
        <v>1634</v>
      </c>
      <c r="AY287" s="1496" t="str">
        <f>IF(AND(AZ286="NB",AZ293="NB",AZ299="NB"),"NB",SUM(AZ286:AZ306)/3)</f>
        <v>NB</v>
      </c>
      <c r="AZ287" s="41"/>
      <c r="BA287" s="42"/>
      <c r="BB287" s="577"/>
      <c r="BC287" s="582"/>
      <c r="BD287" s="398"/>
      <c r="BE287" s="579"/>
      <c r="BF287" s="577"/>
      <c r="BG287" s="582"/>
      <c r="BH287" s="398"/>
      <c r="BI287" s="579"/>
      <c r="BJ287" s="138"/>
    </row>
    <row r="288" spans="1:62" ht="15" customHeight="1">
      <c r="A288" s="138"/>
      <c r="B288" s="667"/>
      <c r="C288" s="871" t="str">
        <f>IF(Tool!$H$7="Français",G288,IF(Tool!$H$7="Italiano",I288,E288))</f>
        <v>Werden wassersparende Apparate und Armaturen geplant?</v>
      </c>
      <c r="D288" s="667"/>
      <c r="E288" s="562" t="s">
        <v>1041</v>
      </c>
      <c r="F288" s="667"/>
      <c r="G288" s="563" t="s">
        <v>1043</v>
      </c>
      <c r="H288" s="667"/>
      <c r="I288" s="563" t="s">
        <v>1046</v>
      </c>
      <c r="J288" s="667"/>
      <c r="K288" s="564"/>
      <c r="L288" s="565"/>
      <c r="M288" s="565"/>
      <c r="N288" s="565"/>
      <c r="O288" s="565"/>
      <c r="P288" s="566"/>
      <c r="Q288" s="667"/>
      <c r="R288" s="564"/>
      <c r="S288" s="565"/>
      <c r="T288" s="565"/>
      <c r="U288" s="565"/>
      <c r="V288" s="572"/>
      <c r="W288" s="568"/>
      <c r="X288" s="667"/>
      <c r="Y288" s="564"/>
      <c r="Z288" s="565"/>
      <c r="AA288" s="565"/>
      <c r="AB288" s="565"/>
      <c r="AC288" s="572"/>
      <c r="AD288" s="568"/>
      <c r="AE288" s="138" t="s">
        <v>28</v>
      </c>
      <c r="AF288" s="335"/>
      <c r="AG288" s="340"/>
      <c r="AH288" s="766"/>
      <c r="AI288" s="340"/>
      <c r="AJ288" s="43">
        <f t="shared" ref="AJ288:AJ292" si="57">1/6</f>
        <v>0.16666666666666666</v>
      </c>
      <c r="AK288" s="43">
        <f t="shared" ref="AK288:AK292" si="58">AJ288*0.3</f>
        <v>4.9999999999999996E-2</v>
      </c>
      <c r="AL288" s="43">
        <v>0</v>
      </c>
      <c r="AM288" s="44"/>
      <c r="AN288" s="44"/>
      <c r="AO288" s="44" t="str">
        <f>IF(Check!S853=$AQ$4,AJ288,IF(Check!S853=$AQ$6,AK288,IF(OR(Check!S853=$AQ$5,AO286=""),AL288,"NB")))</f>
        <v>NB</v>
      </c>
      <c r="AP288" s="44"/>
      <c r="AQ288" s="44"/>
      <c r="AR288" s="44"/>
      <c r="AS288" s="41"/>
      <c r="AT288" s="41"/>
      <c r="AU288" s="41"/>
      <c r="AV288" s="442"/>
      <c r="AW288" s="44"/>
      <c r="AX288" s="41" t="s">
        <v>1647</v>
      </c>
      <c r="AY288" s="38" t="str">
        <f>IF(AND(AZ286="NB",AZ293="NB"),"NB",SUM(AZ286:AZ293)/2)</f>
        <v>NB</v>
      </c>
      <c r="AZ288" s="41"/>
      <c r="BA288" s="42"/>
      <c r="BB288" s="577"/>
      <c r="BC288" s="582"/>
      <c r="BD288" s="398"/>
      <c r="BE288" s="579"/>
      <c r="BF288" s="577"/>
      <c r="BG288" s="582"/>
      <c r="BH288" s="398"/>
      <c r="BI288" s="579"/>
      <c r="BJ288" s="138"/>
    </row>
    <row r="289" spans="1:62" ht="15" customHeight="1">
      <c r="A289" s="138"/>
      <c r="B289" s="642" t="str">
        <f>IF(OR(Tool!H$7="Deutsch",Tool!H$7=""),"K342","C342")</f>
        <v>K342</v>
      </c>
      <c r="C289" s="872" t="str">
        <f>IF(Tool!$H$7="Français",G289,IF(Tool!$H$7="Italiano",I289,E289))</f>
        <v>Sind bei der Wahl der Bepflanzung sowie beim Versickerungs- und Retentionskonzept die Veränderungen durch den Klimawandel (höhere Temperatur und heftigere Niederschläge) mitberücksichtigt worden und haben diese das Umgebungskonzept beeinflusst?</v>
      </c>
      <c r="D289" s="642" t="str">
        <f>$B289</f>
        <v>K342</v>
      </c>
      <c r="E289" s="641" t="s">
        <v>498</v>
      </c>
      <c r="F289" s="642" t="str">
        <f>$B289</f>
        <v>K342</v>
      </c>
      <c r="G289" s="641" t="s">
        <v>507</v>
      </c>
      <c r="H289" s="642" t="str">
        <f>$B289</f>
        <v>K342</v>
      </c>
      <c r="I289" s="641" t="s">
        <v>1845</v>
      </c>
      <c r="J289" s="642" t="str">
        <f>$B289</f>
        <v>K342</v>
      </c>
      <c r="K289" s="644"/>
      <c r="L289" s="645"/>
      <c r="M289" s="645"/>
      <c r="N289" s="645"/>
      <c r="O289" s="645"/>
      <c r="P289" s="646"/>
      <c r="Q289" s="642" t="str">
        <f>$B289</f>
        <v>K342</v>
      </c>
      <c r="R289" s="644"/>
      <c r="S289" s="645"/>
      <c r="T289" s="645"/>
      <c r="U289" s="645"/>
      <c r="V289" s="645"/>
      <c r="W289" s="670"/>
      <c r="X289" s="642" t="str">
        <f>$B289</f>
        <v>K342</v>
      </c>
      <c r="Y289" s="644"/>
      <c r="Z289" s="645"/>
      <c r="AA289" s="645"/>
      <c r="AB289" s="645"/>
      <c r="AC289" s="645"/>
      <c r="AD289" s="670"/>
      <c r="AE289" s="138" t="s">
        <v>28</v>
      </c>
      <c r="AF289" s="335"/>
      <c r="AG289" s="340"/>
      <c r="AH289" s="766"/>
      <c r="AI289" s="340"/>
      <c r="AJ289" s="43">
        <f t="shared" si="57"/>
        <v>0.16666666666666666</v>
      </c>
      <c r="AK289" s="43">
        <f t="shared" si="58"/>
        <v>4.9999999999999996E-2</v>
      </c>
      <c r="AL289" s="43">
        <v>0</v>
      </c>
      <c r="AM289" s="44"/>
      <c r="AN289" s="44"/>
      <c r="AO289" s="44" t="str">
        <f>IF(Check!S856=$AQ$4,AJ289,IF(Check!S856=$AQ$6,AK289,IF(OR(Check!S856=$AQ$5,AO286=""),AL289,"NB")))</f>
        <v>NB</v>
      </c>
      <c r="AP289" s="44"/>
      <c r="AQ289" s="44"/>
      <c r="AR289" s="44"/>
      <c r="AS289" s="41"/>
      <c r="AT289" s="41"/>
      <c r="AU289" s="41"/>
      <c r="AV289" s="442"/>
      <c r="AW289" s="44"/>
      <c r="AX289" s="41"/>
      <c r="AY289" s="42"/>
      <c r="AZ289" s="41"/>
      <c r="BA289" s="42"/>
      <c r="BB289" s="577"/>
      <c r="BC289" s="582"/>
      <c r="BD289" s="398"/>
      <c r="BE289" s="579"/>
      <c r="BF289" s="577"/>
      <c r="BG289" s="582"/>
      <c r="BH289" s="398"/>
      <c r="BI289" s="579"/>
      <c r="BJ289" s="138"/>
    </row>
    <row r="290" spans="1:62" ht="15" customHeight="1">
      <c r="A290" s="138"/>
      <c r="B290" s="642"/>
      <c r="C290" s="872" t="str">
        <f>IF(Tool!$H$7="Français",G290,IF(Tool!$H$7="Italiano",I290,E290))</f>
        <v>Wurden bei der Umgebungsplanung, die durch den Klimawandel veränderten, künftigen Bedingungen untersucht?</v>
      </c>
      <c r="D290" s="642"/>
      <c r="E290" s="641" t="s">
        <v>1050</v>
      </c>
      <c r="F290" s="642"/>
      <c r="G290" s="641" t="s">
        <v>1051</v>
      </c>
      <c r="H290" s="642"/>
      <c r="I290" s="641" t="s">
        <v>1052</v>
      </c>
      <c r="J290" s="642"/>
      <c r="K290" s="644"/>
      <c r="L290" s="645"/>
      <c r="M290" s="645"/>
      <c r="N290" s="645"/>
      <c r="O290" s="645"/>
      <c r="P290" s="646"/>
      <c r="Q290" s="642"/>
      <c r="R290" s="644"/>
      <c r="S290" s="645"/>
      <c r="T290" s="645"/>
      <c r="U290" s="645"/>
      <c r="V290" s="645"/>
      <c r="W290" s="670"/>
      <c r="X290" s="642"/>
      <c r="Y290" s="644"/>
      <c r="Z290" s="645"/>
      <c r="AA290" s="645"/>
      <c r="AB290" s="645"/>
      <c r="AC290" s="645"/>
      <c r="AD290" s="670"/>
      <c r="AE290" s="138" t="s">
        <v>28</v>
      </c>
      <c r="AF290" s="335"/>
      <c r="AG290" s="340"/>
      <c r="AH290" s="766"/>
      <c r="AI290" s="340"/>
      <c r="AJ290" s="43">
        <f t="shared" si="57"/>
        <v>0.16666666666666666</v>
      </c>
      <c r="AK290" s="43">
        <f t="shared" si="58"/>
        <v>4.9999999999999996E-2</v>
      </c>
      <c r="AL290" s="43">
        <v>0</v>
      </c>
      <c r="AM290" s="44"/>
      <c r="AN290" s="44"/>
      <c r="AO290" s="44" t="str">
        <f>IF(Check!S859=$AQ$4,AJ290,IF(Check!S859=$AQ$6,AK290,IF(OR(Check!S859=$AQ$5,AO286=""),AL290,"NB")))</f>
        <v>NB</v>
      </c>
      <c r="AP290" s="44"/>
      <c r="AQ290" s="44"/>
      <c r="AR290" s="44"/>
      <c r="AS290" s="41"/>
      <c r="AT290" s="41"/>
      <c r="AU290" s="41"/>
      <c r="AV290" s="442"/>
      <c r="AW290" s="44"/>
      <c r="AX290" s="41"/>
      <c r="AY290" s="42"/>
      <c r="AZ290" s="41"/>
      <c r="BA290" s="42"/>
      <c r="BB290" s="577"/>
      <c r="BC290" s="582"/>
      <c r="BD290" s="398"/>
      <c r="BE290" s="579"/>
      <c r="BF290" s="577"/>
      <c r="BG290" s="582"/>
      <c r="BH290" s="398"/>
      <c r="BI290" s="579"/>
      <c r="BJ290" s="138"/>
    </row>
    <row r="291" spans="1:62" ht="15" customHeight="1">
      <c r="A291" s="138"/>
      <c r="B291" s="642"/>
      <c r="C291" s="872" t="str">
        <f>IF(Tool!$H$7="Français",G291,IF(Tool!$H$7="Italiano",I291,E291))</f>
        <v>Wurden langfristig klimaresistente Bepflanzungen für die Umgebungsgestaltung vorgesehen?</v>
      </c>
      <c r="D291" s="642"/>
      <c r="E291" s="641" t="s">
        <v>457</v>
      </c>
      <c r="F291" s="642"/>
      <c r="G291" s="641" t="s">
        <v>508</v>
      </c>
      <c r="H291" s="642"/>
      <c r="I291" s="641" t="s">
        <v>1053</v>
      </c>
      <c r="J291" s="642"/>
      <c r="K291" s="644"/>
      <c r="L291" s="645"/>
      <c r="M291" s="645"/>
      <c r="N291" s="645"/>
      <c r="O291" s="645"/>
      <c r="P291" s="646"/>
      <c r="Q291" s="642"/>
      <c r="R291" s="644"/>
      <c r="S291" s="645"/>
      <c r="T291" s="645"/>
      <c r="U291" s="645"/>
      <c r="V291" s="645"/>
      <c r="W291" s="670"/>
      <c r="X291" s="642"/>
      <c r="Y291" s="644"/>
      <c r="Z291" s="645"/>
      <c r="AA291" s="645"/>
      <c r="AB291" s="645"/>
      <c r="AC291" s="645"/>
      <c r="AD291" s="670"/>
      <c r="AE291" s="138"/>
      <c r="AF291" s="335"/>
      <c r="AG291" s="340"/>
      <c r="AH291" s="766"/>
      <c r="AI291" s="340"/>
      <c r="AJ291" s="43">
        <f t="shared" si="57"/>
        <v>0.16666666666666666</v>
      </c>
      <c r="AK291" s="43">
        <f t="shared" si="58"/>
        <v>4.9999999999999996E-2</v>
      </c>
      <c r="AL291" s="43">
        <v>0</v>
      </c>
      <c r="AM291" s="44"/>
      <c r="AN291" s="44"/>
      <c r="AO291" s="44" t="str">
        <f>IF(Check!S862=$AQ$4,AJ291,IF(Check!S862=$AQ$6,AK291,IF(OR(Check!S862=$AQ$5,AO286=""),AL291,"NB")))</f>
        <v>NB</v>
      </c>
      <c r="AP291" s="44"/>
      <c r="AQ291" s="44"/>
      <c r="AR291" s="44"/>
      <c r="AS291" s="41"/>
      <c r="AT291" s="41"/>
      <c r="AU291" s="41"/>
      <c r="AV291" s="442"/>
      <c r="AW291" s="44"/>
      <c r="AX291" s="1"/>
      <c r="AY291" s="38"/>
      <c r="AZ291" s="1"/>
      <c r="BA291" s="38"/>
      <c r="BB291" s="577"/>
      <c r="BC291" s="582"/>
      <c r="BD291" s="398"/>
      <c r="BE291" s="579"/>
      <c r="BF291" s="577"/>
      <c r="BG291" s="582"/>
      <c r="BH291" s="398"/>
      <c r="BI291" s="579"/>
      <c r="BJ291" s="138"/>
    </row>
    <row r="292" spans="1:62" ht="15" customHeight="1">
      <c r="A292" s="138"/>
      <c r="B292" s="642"/>
      <c r="C292" s="872" t="str">
        <f>IF(Tool!$H$7="Français",G292,IF(Tool!$H$7="Italiano",I292,E292))</f>
        <v>Haben beim Versickerungs- und Retentionskonzept die erwarteten besonders heftigen Niederschläge der Zukunft eine Rolle gespielt?</v>
      </c>
      <c r="D292" s="642"/>
      <c r="E292" s="641" t="s">
        <v>458</v>
      </c>
      <c r="F292" s="642"/>
      <c r="G292" s="641" t="s">
        <v>509</v>
      </c>
      <c r="H292" s="642"/>
      <c r="I292" s="641" t="s">
        <v>1054</v>
      </c>
      <c r="J292" s="642"/>
      <c r="K292" s="644"/>
      <c r="L292" s="645"/>
      <c r="M292" s="645"/>
      <c r="N292" s="645"/>
      <c r="O292" s="645"/>
      <c r="P292" s="646"/>
      <c r="Q292" s="642"/>
      <c r="R292" s="644"/>
      <c r="S292" s="645"/>
      <c r="T292" s="645"/>
      <c r="U292" s="645"/>
      <c r="V292" s="645"/>
      <c r="W292" s="670"/>
      <c r="X292" s="642"/>
      <c r="Y292" s="644"/>
      <c r="Z292" s="645"/>
      <c r="AA292" s="645"/>
      <c r="AB292" s="645"/>
      <c r="AC292" s="645"/>
      <c r="AD292" s="670"/>
      <c r="AE292" s="138" t="s">
        <v>28</v>
      </c>
      <c r="AF292" s="335"/>
      <c r="AG292" s="778"/>
      <c r="AH292" s="781"/>
      <c r="AI292" s="778"/>
      <c r="AJ292" s="43">
        <f t="shared" si="57"/>
        <v>0.16666666666666666</v>
      </c>
      <c r="AK292" s="43">
        <f t="shared" si="58"/>
        <v>4.9999999999999996E-2</v>
      </c>
      <c r="AL292" s="43">
        <v>0</v>
      </c>
      <c r="AM292" s="11"/>
      <c r="AN292" s="11"/>
      <c r="AO292" s="44" t="str">
        <f>IF(Check!S865=$AQ$4,AJ292,IF(Check!S865=$AQ$6,AK292,IF(OR(Check!S865=$AQ$5,AO286=""),AL292,"NB")))</f>
        <v>NB</v>
      </c>
      <c r="AP292" s="11"/>
      <c r="AQ292" s="11"/>
      <c r="AR292" s="11"/>
      <c r="AS292" s="49"/>
      <c r="AT292" s="49"/>
      <c r="AU292" s="49"/>
      <c r="AV292" s="442"/>
      <c r="AW292" s="44"/>
      <c r="AX292" s="1"/>
      <c r="AY292" s="38"/>
      <c r="AZ292" s="1"/>
      <c r="BA292" s="38"/>
      <c r="BB292" s="577"/>
      <c r="BC292" s="582"/>
      <c r="BD292" s="398"/>
      <c r="BE292" s="579"/>
      <c r="BF292" s="577"/>
      <c r="BG292" s="582"/>
      <c r="BH292" s="398"/>
      <c r="BI292" s="579"/>
      <c r="BJ292" s="138"/>
    </row>
    <row r="293" spans="1:62" ht="15" customHeight="1">
      <c r="A293" s="138"/>
      <c r="B293" s="667">
        <v>343</v>
      </c>
      <c r="C293" s="871" t="str">
        <f>IF(Tool!$H$7="Français",G293,IF(Tool!$H$7="Italiano",I293,E293))</f>
        <v>Wird mit dem Projekt ein Beitrag zur Siedlungsentwicklung nach innen (Verdichtung) geleistet, indem es innerhalb eines dicht besiedelten Gebietes in einer geeigneten Bauzone realisiert wird und die gesetzliche mögliche Bebaubarkeit maximal ausgeschöpft wird?</v>
      </c>
      <c r="D293" s="667">
        <f>$B293</f>
        <v>343</v>
      </c>
      <c r="E293" s="562" t="str">
        <f>IF(OR(AG$25=AF$6,AG$25=AF$7),K293,P293)</f>
        <v>Wird mit dem Projekt ein Beitrag zur Siedlungsentwicklung nach innen (Verdichtung) geleistet, indem es innerhalb eines dicht besiedelten Gebietes in einer geeigneten Bauzone realisiert wird und die gesetzliche mögliche Bebaubarkeit maximal ausgeschöpft wird?</v>
      </c>
      <c r="F293" s="667">
        <f>$B293</f>
        <v>343</v>
      </c>
      <c r="G293" s="563" t="str">
        <f>IF(OR(AG$25=AF$6,AG$25=AF$7),R293,W293)</f>
        <v>Le projet contribue-t-il au développement de l'urbanisation vers l'intérieur (densification) en étant réalisé à l'intérieur d'une zone densément peuplée, dans une zone à bâtir appropriée, et en exploitant au maximum la constructibilité légalement possible ?</v>
      </c>
      <c r="H293" s="667">
        <f>$B293</f>
        <v>343</v>
      </c>
      <c r="I293" s="563" t="str">
        <f>IF(OR(AG$25=AF$6,AG$25=AF$7),Y293,AD293)</f>
        <v>Il progetto contribuisce allo sviluppo dell'insediamento (densificazione) essendo realizzato in un'area densamente popolata, in una zona edificabile adeguata e sfruttando al massimo la capacità edificatoria legalmente possibile?</v>
      </c>
      <c r="J293" s="667">
        <f>$B293</f>
        <v>343</v>
      </c>
      <c r="K293" s="564" t="s">
        <v>1055</v>
      </c>
      <c r="L293" s="565"/>
      <c r="M293" s="565"/>
      <c r="N293" s="565"/>
      <c r="O293" s="565"/>
      <c r="P293" s="566" t="s">
        <v>1056</v>
      </c>
      <c r="Q293" s="667">
        <f>$B293</f>
        <v>343</v>
      </c>
      <c r="R293" s="564" t="s">
        <v>1059</v>
      </c>
      <c r="S293" s="565"/>
      <c r="T293" s="565"/>
      <c r="U293" s="565"/>
      <c r="V293" s="565"/>
      <c r="W293" s="568" t="s">
        <v>1060</v>
      </c>
      <c r="X293" s="667">
        <f>$B293</f>
        <v>343</v>
      </c>
      <c r="Y293" s="564" t="s">
        <v>1058</v>
      </c>
      <c r="Z293" s="565"/>
      <c r="AA293" s="565"/>
      <c r="AB293" s="565"/>
      <c r="AC293" s="565"/>
      <c r="AD293" s="568" t="s">
        <v>1057</v>
      </c>
      <c r="AE293" s="138"/>
      <c r="AF293" s="1096">
        <f>AQ58</f>
        <v>342</v>
      </c>
      <c r="AG293" s="1097" t="str">
        <f>AR58</f>
        <v>Wasser</v>
      </c>
      <c r="AH293" s="1098"/>
      <c r="AI293" s="1099"/>
      <c r="AJ293" s="1092">
        <v>1</v>
      </c>
      <c r="AK293" s="1074" t="s">
        <v>46</v>
      </c>
      <c r="AL293" s="1075">
        <v>0</v>
      </c>
      <c r="AM293" s="1076"/>
      <c r="AN293" s="1076"/>
      <c r="AO293" s="1076" t="str">
        <f>IF(Check!S868=$AQ$4,AJ293,IF(OR(Check!S868=$AQ$6,Check!S868=$AQ$5),AL293,"NB"))</f>
        <v>NB</v>
      </c>
      <c r="AP293" s="1076" t="str">
        <f>IF(OR(AG$40=AQ$4,AG$41=AQ$4),1,"NB")</f>
        <v>NB</v>
      </c>
      <c r="AQ293" s="1076" t="str">
        <f>IF(AP293=1,1,
IF(AO293=1,1,
IF(COUNTIF(AO294:AO298,"NB"),"NB",
IF(SUM(AO294:AO298)&gt;1,1,
IF(AND(SUM(AO294:AO298)&gt;=0,SUM(AO294:AO298)&lt;=1),SUM(AO294:AO298),"NB")))))</f>
        <v>NB</v>
      </c>
      <c r="AR293" s="1076"/>
      <c r="AS293" s="1078" t="str">
        <f>IF(AQ293="NB","NB",AQ293)</f>
        <v>NB</v>
      </c>
      <c r="AT293" s="1100"/>
      <c r="AU293" s="1101"/>
      <c r="AV293" s="701"/>
      <c r="AW293" s="1492" t="str">
        <f>AS293</f>
        <v>NB</v>
      </c>
      <c r="AX293" s="655"/>
      <c r="AY293" s="1491"/>
      <c r="AZ293" s="1079" t="str">
        <f>AW293</f>
        <v>NB</v>
      </c>
      <c r="BA293" s="1094"/>
      <c r="BB293" s="577" t="str">
        <f>IF($AS$293="NB","",
IF($AS$293&gt;=0.85,AF293&amp;" "&amp;AG293&amp;"; ",""))</f>
        <v/>
      </c>
      <c r="BC293" s="582" t="str">
        <f>IF($AS$293="NB","",
IF(AND($AS$293&gt;=0.65,$AS$293&lt;0.85),AF293&amp;" "&amp;AG293&amp;"; ",""))</f>
        <v/>
      </c>
      <c r="BD293" s="398" t="str">
        <f>IF($AS$293="NB","",
IF(AND($AS$293&gt;=0.5,$AS$293&lt;0.65),AF293&amp;" "&amp;AG293&amp;"; ",""))</f>
        <v/>
      </c>
      <c r="BE293" s="579" t="str">
        <f>IF($AS$293="NB","",
IF($AS$293&lt;0.5,AF293&amp;" "&amp;AG293&amp;"; ",""))</f>
        <v/>
      </c>
      <c r="BF293" s="577" t="str">
        <f>IF($AS$293="NB","",
IF($AS$293&gt;=0.85,AF293&amp;" ",""))</f>
        <v/>
      </c>
      <c r="BG293" s="582" t="str">
        <f>IF($AS$293="NB","",
IF(AND($AS$293&gt;=0.65,$AS$293&lt;0.85),AF293&amp;" ",""))</f>
        <v/>
      </c>
      <c r="BH293" s="398" t="str">
        <f>IF($AS$293="NB","",
IF(AND($AS$293&gt;=0.5,$AS$293&lt;0.65),AF293&amp;" ",""))</f>
        <v/>
      </c>
      <c r="BI293" s="579" t="str">
        <f>IF($AS$293="NB","",
IF($AS$293&lt;0.5,AF293&amp;" ",""))</f>
        <v/>
      </c>
      <c r="BJ293" s="138"/>
    </row>
    <row r="294" spans="1:62" ht="15" customHeight="1">
      <c r="A294" s="138"/>
      <c r="B294" s="668"/>
      <c r="C294" s="871" t="str">
        <f>IF(Tool!$H$7="Français",G294,IF(Tool!$H$7="Italiano",I294,E294))</f>
        <v>Wird das Bauvorhaben innerhalb oder am Rand eines dicht besiedelten Gebiets realisiert?</v>
      </c>
      <c r="D294" s="668"/>
      <c r="E294" s="562" t="s">
        <v>220</v>
      </c>
      <c r="F294" s="668"/>
      <c r="G294" s="563" t="s">
        <v>244</v>
      </c>
      <c r="H294" s="668"/>
      <c r="I294" s="563" t="s">
        <v>1068</v>
      </c>
      <c r="J294" s="668"/>
      <c r="K294" s="564"/>
      <c r="L294" s="565"/>
      <c r="M294" s="565"/>
      <c r="N294" s="565"/>
      <c r="O294" s="565"/>
      <c r="P294" s="566"/>
      <c r="Q294" s="668"/>
      <c r="R294" s="564"/>
      <c r="S294" s="565"/>
      <c r="T294" s="565"/>
      <c r="U294" s="565"/>
      <c r="V294" s="565"/>
      <c r="W294" s="568"/>
      <c r="X294" s="668"/>
      <c r="Y294" s="564"/>
      <c r="Z294" s="565"/>
      <c r="AA294" s="565"/>
      <c r="AB294" s="565"/>
      <c r="AC294" s="565"/>
      <c r="AD294" s="568"/>
      <c r="AE294" s="138"/>
      <c r="AF294" s="335"/>
      <c r="AG294" s="340"/>
      <c r="AH294" s="766"/>
      <c r="AI294" s="340"/>
      <c r="AJ294" s="43">
        <f>1/5</f>
        <v>0.2</v>
      </c>
      <c r="AK294" s="43">
        <f>AJ294*0.3</f>
        <v>0.06</v>
      </c>
      <c r="AL294" s="43">
        <v>0</v>
      </c>
      <c r="AM294" s="44"/>
      <c r="AN294" s="44"/>
      <c r="AO294" s="44" t="str">
        <f>IF(Check!S871=$AQ$4,AJ294,IF(Check!S871=$AQ$6,AK294,IF(OR(Check!S871=$AQ$5,AO293=""),AL294,"NB")))</f>
        <v>NB</v>
      </c>
      <c r="AP294" s="44"/>
      <c r="AQ294" s="44"/>
      <c r="AR294" s="44"/>
      <c r="AS294" s="41"/>
      <c r="AT294" s="41"/>
      <c r="AU294" s="41"/>
      <c r="AV294" s="442"/>
      <c r="AW294" s="44"/>
      <c r="AX294" s="41"/>
      <c r="AY294" s="42"/>
      <c r="AZ294" s="41"/>
      <c r="BA294" s="42"/>
      <c r="BB294" s="577"/>
      <c r="BC294" s="582"/>
      <c r="BD294" s="398"/>
      <c r="BE294" s="579"/>
      <c r="BF294" s="577"/>
      <c r="BG294" s="582"/>
      <c r="BH294" s="398"/>
      <c r="BI294" s="579"/>
      <c r="BJ294" s="138"/>
    </row>
    <row r="295" spans="1:62" ht="15" customHeight="1">
      <c r="A295" s="138"/>
      <c r="B295" s="667"/>
      <c r="C295" s="871" t="str">
        <f>IF(Tool!$H$7="Français",G295,IF(Tool!$H$7="Italiano",I295,E295))</f>
        <v>Liegt das Grundstück in einer geeigneten Bauzone und ist bereits mehrheitlich bebaut?</v>
      </c>
      <c r="D295" s="667"/>
      <c r="E295" s="562" t="s">
        <v>1065</v>
      </c>
      <c r="F295" s="667"/>
      <c r="G295" s="563" t="s">
        <v>1067</v>
      </c>
      <c r="H295" s="667"/>
      <c r="I295" s="563" t="s">
        <v>1066</v>
      </c>
      <c r="J295" s="667"/>
      <c r="K295" s="564"/>
      <c r="L295" s="565"/>
      <c r="M295" s="565"/>
      <c r="N295" s="565"/>
      <c r="O295" s="565"/>
      <c r="P295" s="566"/>
      <c r="Q295" s="667"/>
      <c r="R295" s="564"/>
      <c r="S295" s="565"/>
      <c r="T295" s="565"/>
      <c r="U295" s="565"/>
      <c r="V295" s="565"/>
      <c r="W295" s="566"/>
      <c r="X295" s="667"/>
      <c r="Y295" s="564"/>
      <c r="Z295" s="565"/>
      <c r="AA295" s="565"/>
      <c r="AB295" s="565"/>
      <c r="AC295" s="565"/>
      <c r="AD295" s="566"/>
      <c r="AE295" s="138"/>
      <c r="AF295" s="335"/>
      <c r="AG295" s="340"/>
      <c r="AH295" s="766"/>
      <c r="AI295" s="340"/>
      <c r="AJ295" s="43">
        <f>1/5</f>
        <v>0.2</v>
      </c>
      <c r="AK295" s="43">
        <f t="shared" ref="AK295" si="59">AJ295*0.3</f>
        <v>0.06</v>
      </c>
      <c r="AL295" s="43">
        <v>0</v>
      </c>
      <c r="AM295" s="44"/>
      <c r="AN295" s="44"/>
      <c r="AO295" s="44" t="str">
        <f>IF(Check!S874=$AQ$4,AJ295,IF(Check!S874=$AQ$6,AK295,IF(OR(Check!S874=$AQ$5,AO293=""),AL295,"NB")))</f>
        <v>NB</v>
      </c>
      <c r="AP295" s="44"/>
      <c r="AQ295" s="44"/>
      <c r="AR295" s="44"/>
      <c r="AS295" s="41"/>
      <c r="AT295" s="41"/>
      <c r="AU295" s="41"/>
      <c r="AV295" s="442"/>
      <c r="AW295" s="44"/>
      <c r="AX295" s="41"/>
      <c r="AY295" s="42"/>
      <c r="AZ295" s="41"/>
      <c r="BA295" s="42"/>
      <c r="BB295" s="577"/>
      <c r="BC295" s="582"/>
      <c r="BD295" s="398"/>
      <c r="BE295" s="579"/>
      <c r="BF295" s="577"/>
      <c r="BG295" s="582"/>
      <c r="BH295" s="398"/>
      <c r="BI295" s="579"/>
      <c r="BJ295" s="138"/>
    </row>
    <row r="296" spans="1:62" ht="15" customHeight="1">
      <c r="A296" s="138"/>
      <c r="B296" s="667"/>
      <c r="C296" s="871" t="str">
        <f>IF(Tool!$H$7="Français",G296,IF(Tool!$H$7="Italiano",I296,E296))</f>
        <v>Sind die geplanten Gebäude dicht auf dem Grundstück angeordnet und lassen eine substanzielle Erweiterung (mind. 25 % der GF) zu oder wurde das gesamte Bebauungspotenzial maximal ausgeschöpft?</v>
      </c>
      <c r="D296" s="667"/>
      <c r="E296" s="573" t="str">
        <f>IF(OR(AG$25=AF$6,AG$25=AF$7),K296,P296)</f>
        <v>Sind die geplanten Gebäude dicht auf dem Grundstück angeordnet und lassen eine substanzielle Erweiterung (mind. 25 % der GF) zu oder wurde das gesamte Bebauungspotenzial maximal ausgeschöpft?</v>
      </c>
      <c r="F296" s="667"/>
      <c r="G296" s="563" t="str">
        <f>IF(OR(AG$25=AF$6,AG$25=AF$7),R296,W296)</f>
        <v>Les bâtiments projetés sont-ils organisés de manière dense sur la parcelle avec la possibilité d'un agrandissement significatif (au minimum 25% de l'SP) ou atteignent-ils déjà la densité maximum pour leur parcelle ?</v>
      </c>
      <c r="H296" s="667"/>
      <c r="I296" s="563" t="str">
        <f>IF(OR(AG$25=AF$6,AG$25=AF$7),Y296,AD296)</f>
        <v>Gli edifici previsti sono disposti densamente sul lotto e consentono un ampliamento sostanziale (almeno il 25% della SP) o l'intero potenziale di sviluppo è stato sfruttato al massimo?</v>
      </c>
      <c r="J296" s="667"/>
      <c r="K296" s="566" t="s">
        <v>1062</v>
      </c>
      <c r="L296" s="565"/>
      <c r="M296" s="565"/>
      <c r="N296" s="565"/>
      <c r="O296" s="565"/>
      <c r="P296" s="565" t="s">
        <v>1061</v>
      </c>
      <c r="Q296" s="667"/>
      <c r="R296" s="566" t="s">
        <v>1064</v>
      </c>
      <c r="S296" s="565"/>
      <c r="T296" s="565"/>
      <c r="U296" s="565"/>
      <c r="V296" s="565"/>
      <c r="W296" s="565" t="s">
        <v>351</v>
      </c>
      <c r="X296" s="667"/>
      <c r="Y296" s="566" t="s">
        <v>1825</v>
      </c>
      <c r="Z296" s="565"/>
      <c r="AA296" s="565"/>
      <c r="AB296" s="565"/>
      <c r="AC296" s="565"/>
      <c r="AD296" s="1616" t="s">
        <v>1063</v>
      </c>
      <c r="AE296" s="138"/>
      <c r="AF296" s="335"/>
      <c r="AG296" s="340"/>
      <c r="AH296" s="766"/>
      <c r="AI296" s="340"/>
      <c r="AJ296" s="43">
        <f>1/5</f>
        <v>0.2</v>
      </c>
      <c r="AK296" s="43">
        <v>0.06</v>
      </c>
      <c r="AL296" s="43">
        <v>0</v>
      </c>
      <c r="AM296" s="44"/>
      <c r="AN296" s="44"/>
      <c r="AO296" s="44" t="str">
        <f>IF(Check!S877=$AQ$4,AJ296,IF(Check!S877=$AQ$6,AK296,IF(OR(Check!S877=$AQ$5,AO293=""),AL296,"NB")))</f>
        <v>NB</v>
      </c>
      <c r="AP296" s="44"/>
      <c r="AQ296" s="44"/>
      <c r="AR296" s="44"/>
      <c r="AS296" s="41"/>
      <c r="AT296" s="41"/>
      <c r="AU296" s="41"/>
      <c r="AV296" s="442"/>
      <c r="AW296" s="44"/>
      <c r="AX296" s="41"/>
      <c r="AY296" s="42"/>
      <c r="AZ296" s="41"/>
      <c r="BA296" s="42"/>
      <c r="BB296" s="577"/>
      <c r="BC296" s="582"/>
      <c r="BD296" s="398"/>
      <c r="BE296" s="579"/>
      <c r="BF296" s="577"/>
      <c r="BG296" s="582"/>
      <c r="BH296" s="398"/>
      <c r="BI296" s="579"/>
      <c r="BJ296" s="138"/>
    </row>
    <row r="297" spans="1:62" ht="15" customHeight="1">
      <c r="A297" s="138"/>
      <c r="B297" s="299"/>
      <c r="C297" s="341" t="str">
        <f>IF(Tool!$H$7="Français",G297,IF(Tool!$H$7="Italiano",I297,E297))</f>
        <v xml:space="preserve">Danke für die Beantwortung der Fragen. Eine Ergebnisübersicht findet sich im entsprechenden Register. </v>
      </c>
      <c r="D297" s="299"/>
      <c r="E297" s="341" t="s">
        <v>116</v>
      </c>
      <c r="F297" s="299"/>
      <c r="G297" s="341" t="s">
        <v>245</v>
      </c>
      <c r="H297" s="299"/>
      <c r="I297" s="341" t="s">
        <v>865</v>
      </c>
      <c r="J297" s="299"/>
      <c r="K297" s="420"/>
      <c r="L297" s="421"/>
      <c r="M297" s="421"/>
      <c r="N297" s="421"/>
      <c r="O297" s="425"/>
      <c r="P297" s="425"/>
      <c r="Q297" s="299"/>
      <c r="R297" s="420"/>
      <c r="S297" s="421"/>
      <c r="T297" s="421"/>
      <c r="U297" s="421"/>
      <c r="V297" s="421"/>
      <c r="W297" s="1614"/>
      <c r="X297" s="299"/>
      <c r="Y297" s="420"/>
      <c r="Z297" s="421"/>
      <c r="AA297" s="421"/>
      <c r="AB297" s="421"/>
      <c r="AC297" s="421"/>
      <c r="AD297" s="1614"/>
      <c r="AE297" s="138"/>
      <c r="AF297" s="335"/>
      <c r="AG297" s="340"/>
      <c r="AH297" s="766"/>
      <c r="AI297" s="340"/>
      <c r="AJ297" s="43">
        <f>1/5</f>
        <v>0.2</v>
      </c>
      <c r="AK297" s="43">
        <f t="shared" ref="AK297" si="60">AJ297*0.3</f>
        <v>0.06</v>
      </c>
      <c r="AL297" s="43">
        <v>0</v>
      </c>
      <c r="AM297" s="44"/>
      <c r="AN297" s="44"/>
      <c r="AO297" s="44" t="str">
        <f>IF(Check!S880=$AQ$4,AJ297,IF(Check!S880=$AQ$6,AK297,IF(OR(Check!S880=$AQ$5,AO293=""),AL297,"NB")))</f>
        <v>NB</v>
      </c>
      <c r="AP297" s="44"/>
      <c r="AQ297" s="44"/>
      <c r="AR297" s="44"/>
      <c r="AS297" s="41"/>
      <c r="AT297" s="41"/>
      <c r="AU297" s="41"/>
      <c r="AV297" s="442"/>
      <c r="AW297" s="44"/>
      <c r="AX297" s="41"/>
      <c r="AY297" s="42"/>
      <c r="AZ297" s="41"/>
      <c r="BA297" s="42"/>
      <c r="BB297" s="577"/>
      <c r="BC297" s="582"/>
      <c r="BD297" s="398"/>
      <c r="BE297" s="579"/>
      <c r="BF297" s="577"/>
      <c r="BG297" s="582"/>
      <c r="BH297" s="398"/>
      <c r="BI297" s="579"/>
      <c r="BJ297" s="138"/>
    </row>
    <row r="298" spans="1:62" ht="15" customHeight="1">
      <c r="A298" s="138"/>
      <c r="B298" s="300"/>
      <c r="C298" s="319" t="str">
        <f>IF(Tool!$H$7="Français",G298,IF(Tool!$H$7="Italiano",I298,E298))</f>
        <v>Versuchen Sie bei der Bearbeitung des Fragenkatalogs möglichst spontane Antworten zu geben. Wo Sie sich nicht sicher sind, wählen Sie einfach die Option «weiss nicht». Solche Antworten werden entsprechend bewertet oder führen zu zusätzlichen spezifischeren Fragen zum Thema.</v>
      </c>
      <c r="D298" s="300"/>
      <c r="E298" s="319" t="s">
        <v>1662</v>
      </c>
      <c r="F298" s="300"/>
      <c r="G298" s="319" t="s">
        <v>1861</v>
      </c>
      <c r="H298" s="300"/>
      <c r="I298" s="319" t="s">
        <v>1846</v>
      </c>
      <c r="J298" s="300"/>
      <c r="K298" s="423"/>
      <c r="L298" s="424"/>
      <c r="M298" s="424"/>
      <c r="N298" s="424"/>
      <c r="O298" s="422"/>
      <c r="P298" s="422"/>
      <c r="Q298" s="300"/>
      <c r="R298" s="423"/>
      <c r="S298" s="424"/>
      <c r="T298" s="424"/>
      <c r="U298" s="424"/>
      <c r="V298" s="424"/>
      <c r="W298" s="744"/>
      <c r="X298" s="300"/>
      <c r="Y298" s="423"/>
      <c r="Z298" s="424"/>
      <c r="AA298" s="424"/>
      <c r="AB298" s="424"/>
      <c r="AC298" s="424"/>
      <c r="AD298" s="744"/>
      <c r="AE298" s="138"/>
      <c r="AF298" s="335"/>
      <c r="AG298" s="340"/>
      <c r="AH298" s="766"/>
      <c r="AI298" s="340"/>
      <c r="AJ298" s="43">
        <f>1/5</f>
        <v>0.2</v>
      </c>
      <c r="AK298" s="43">
        <f>AJ298*0.3</f>
        <v>0.06</v>
      </c>
      <c r="AL298" s="43">
        <v>0</v>
      </c>
      <c r="AM298" s="44"/>
      <c r="AN298" s="44"/>
      <c r="AO298" s="44" t="str">
        <f>IF(Check!S883=$AQ$4,AJ298,IF(Check!S883=$AQ$6,AK298,IF(OR(Check!S883=$AQ$5,AO293=""),AL298,"NB")))</f>
        <v>NB</v>
      </c>
      <c r="AP298" s="44"/>
      <c r="AQ298" s="44"/>
      <c r="AR298" s="44"/>
      <c r="AS298" s="41"/>
      <c r="AT298" s="41"/>
      <c r="AU298" s="41"/>
      <c r="AV298" s="442"/>
      <c r="AW298" s="44"/>
      <c r="AX298" s="1"/>
      <c r="AY298" s="38"/>
      <c r="AZ298" s="1"/>
      <c r="BA298" s="38"/>
      <c r="BB298" s="577"/>
      <c r="BC298" s="582"/>
      <c r="BD298" s="398"/>
      <c r="BE298" s="579"/>
      <c r="BF298" s="577"/>
      <c r="BG298" s="582"/>
      <c r="BH298" s="398"/>
      <c r="BI298" s="579"/>
      <c r="BJ298" s="138"/>
    </row>
    <row r="299" spans="1:62" ht="15" customHeight="1">
      <c r="A299" s="138"/>
      <c r="B299" s="300"/>
      <c r="C299" s="319" t="str">
        <f>IF(Tool!$H$7="Français",G299,IF(Tool!$H$7="Italiano",I299,E299))</f>
        <v>Es sind noch Fragen zu beantworten, bitte überprüfen Sie alle Eingabefelder.</v>
      </c>
      <c r="D299" s="300"/>
      <c r="E299" s="319" t="s">
        <v>1624</v>
      </c>
      <c r="F299" s="300"/>
      <c r="G299" s="319" t="s">
        <v>1625</v>
      </c>
      <c r="H299" s="300"/>
      <c r="I299" s="319" t="s">
        <v>1626</v>
      </c>
      <c r="J299" s="300"/>
      <c r="K299" s="423"/>
      <c r="L299" s="424"/>
      <c r="M299" s="424"/>
      <c r="N299" s="424"/>
      <c r="O299" s="422"/>
      <c r="P299" s="422"/>
      <c r="Q299" s="300"/>
      <c r="R299" s="423"/>
      <c r="S299" s="424"/>
      <c r="T299" s="424"/>
      <c r="U299" s="424"/>
      <c r="V299" s="424"/>
      <c r="W299" s="744"/>
      <c r="X299" s="300"/>
      <c r="Y299" s="423"/>
      <c r="Z299" s="424"/>
      <c r="AA299" s="424"/>
      <c r="AB299" s="424"/>
      <c r="AC299" s="424"/>
      <c r="AD299" s="744"/>
      <c r="AE299" s="138"/>
      <c r="AF299" s="1006" t="str">
        <f>AT$49</f>
        <v>K342</v>
      </c>
      <c r="AG299" s="1107" t="str">
        <f>AU49</f>
        <v>Umgebung im Klimawandel</v>
      </c>
      <c r="AH299" s="1007"/>
      <c r="AI299" s="1003"/>
      <c r="AJ299" s="1008">
        <v>1</v>
      </c>
      <c r="AK299" s="1008" t="s">
        <v>46</v>
      </c>
      <c r="AL299" s="1008">
        <v>0</v>
      </c>
      <c r="AM299" s="1012"/>
      <c r="AN299" s="1012"/>
      <c r="AO299" s="1023" t="str">
        <f>IF(Check!S886=$AQ$4,AJ299,IF(OR(Check!S886=$AQ$6,Check!S886=$AQ$5,Check!S886=$AU$6),AL299,"NB"))</f>
        <v>NB</v>
      </c>
      <c r="AP299" s="1012"/>
      <c r="AQ299" s="1012"/>
      <c r="AR299" s="1012"/>
      <c r="AS299" s="1012"/>
      <c r="AT299" s="1012"/>
      <c r="AU299" s="1012"/>
      <c r="AV299" s="1009" t="str">
        <f>IF(AP299=1,1,
IF(AO299=1,1,
IF(COUNTIF(AO300:AO302,"NB"),"NB",
IF(SUM(AO300:AO302)&gt;1,1,
IF(AND(SUM(AO300:AO302)&gt;=0,SUM(AO300:AO302)&lt;=1),SUM(AO300:AO302),"NB")))))</f>
        <v>NB</v>
      </c>
      <c r="AW299" s="655" t="str">
        <f>IF(AV299="NB","NB",AV299)</f>
        <v>NB</v>
      </c>
      <c r="AX299" s="1012"/>
      <c r="AY299" s="1035"/>
      <c r="AZ299" s="1488" t="str">
        <f>AW299</f>
        <v>NB</v>
      </c>
      <c r="BA299" s="1035"/>
      <c r="BB299" s="577" t="str">
        <f>IF($AW$299="NB","",
IF($AW$299&gt;=0.85,AF299&amp;" "&amp;AG299&amp;"; ",""))</f>
        <v/>
      </c>
      <c r="BC299" s="582" t="str">
        <f>IF($AW$299="NB","",
IF(AND($AW$299&gt;=0.65,$AW$299&lt;0.85),AF299&amp;" "&amp;AG299&amp;"; ",""))</f>
        <v/>
      </c>
      <c r="BD299" s="398" t="str">
        <f>IF($AW$299="NB","",
IF(AND($AW$299&gt;=0.5,$AW$299&lt;0.65),AF299&amp;" "&amp;AG299&amp;"; ",""))</f>
        <v/>
      </c>
      <c r="BE299" s="579" t="str">
        <f>IF($AW$299="NB","",
IF($AW$299&lt;0.5,AF299&amp;" "&amp;AG299&amp;"; ",""))</f>
        <v/>
      </c>
      <c r="BF299" s="577" t="str">
        <f>IF($AW$299="NB","",
IF($AW$299&gt;=0.85,AF299&amp;" ",""))</f>
        <v/>
      </c>
      <c r="BG299" s="582" t="str">
        <f>IF($AW$299="NB","",
IF(AND($AW$299&gt;=0.65,$AW$299&lt;0.85),AF299&amp;" ",""))</f>
        <v/>
      </c>
      <c r="BH299" s="398" t="str">
        <f>IF($AW$299="NB","",
IF(AND($AW$299&gt;=0.5,$AW$299&lt;0.65),AF299&amp;" ",""))</f>
        <v/>
      </c>
      <c r="BI299" s="579" t="str">
        <f>IF($AW$299="NB","",
IF($AW$299&lt;0.5,AF299&amp;" ",""))</f>
        <v/>
      </c>
      <c r="BJ299" s="138"/>
    </row>
    <row r="300" spans="1:62" ht="15" customHeight="1">
      <c r="A300" s="138"/>
      <c r="B300" s="301"/>
      <c r="C300" s="320" t="str">
        <f>IF(Tool!$H$7="Français",G300,IF(Tool!$H$7="Italiano",I300,E300))</f>
        <v>Transversale Kriterien aus dem SNBS 2023.01 Hochbau</v>
      </c>
      <c r="D300" s="301"/>
      <c r="E300" s="320" t="s">
        <v>1644</v>
      </c>
      <c r="F300" s="301"/>
      <c r="G300" s="320" t="s">
        <v>1645</v>
      </c>
      <c r="H300" s="301"/>
      <c r="I300" s="320" t="s">
        <v>1847</v>
      </c>
      <c r="J300" s="301"/>
      <c r="K300" s="426"/>
      <c r="L300" s="427"/>
      <c r="M300" s="427"/>
      <c r="N300" s="427"/>
      <c r="O300" s="428"/>
      <c r="P300" s="428"/>
      <c r="Q300" s="301"/>
      <c r="R300" s="426"/>
      <c r="S300" s="427"/>
      <c r="T300" s="427"/>
      <c r="U300" s="427"/>
      <c r="V300" s="427"/>
      <c r="W300" s="1615"/>
      <c r="X300" s="301"/>
      <c r="Y300" s="426"/>
      <c r="Z300" s="427"/>
      <c r="AA300" s="427"/>
      <c r="AB300" s="427"/>
      <c r="AC300" s="427"/>
      <c r="AD300" s="1615"/>
      <c r="AE300" s="138"/>
      <c r="AF300" s="409"/>
      <c r="AG300" s="769"/>
      <c r="AH300" s="771"/>
      <c r="AI300" s="769"/>
      <c r="AJ300" s="43">
        <f>AJ299/3</f>
        <v>0.33333333333333331</v>
      </c>
      <c r="AK300" s="43">
        <f t="shared" ref="AK300:AK302" si="61">AJ300*0.3</f>
        <v>9.9999999999999992E-2</v>
      </c>
      <c r="AL300" s="43">
        <v>0</v>
      </c>
      <c r="AM300" s="44"/>
      <c r="AN300" s="44"/>
      <c r="AO300" s="44" t="str">
        <f>IF(Check!S889=$AQ$4,AJ300,IF(Check!S889=$AQ$6,AK300,IF(OR(Check!S889=$AQ$5,AO299=""),AL300,"NB")))</f>
        <v>NB</v>
      </c>
      <c r="AP300" s="981"/>
      <c r="AQ300" s="44"/>
      <c r="AR300" s="44"/>
      <c r="AS300" s="146"/>
      <c r="AT300" s="41"/>
      <c r="AU300" s="41"/>
      <c r="AV300" s="442"/>
      <c r="AW300" s="44"/>
      <c r="AX300" s="41"/>
      <c r="AY300" s="42"/>
      <c r="AZ300" s="41"/>
      <c r="BA300" s="42"/>
      <c r="BB300" s="577"/>
      <c r="BC300" s="582"/>
      <c r="BD300" s="398"/>
      <c r="BE300" s="579"/>
      <c r="BF300" s="577"/>
      <c r="BG300" s="582"/>
      <c r="BH300" s="398"/>
      <c r="BI300" s="579"/>
      <c r="BJ300" s="138"/>
    </row>
    <row r="301" spans="1:62" ht="15" customHeight="1">
      <c r="A301" s="138"/>
      <c r="B301" s="142"/>
      <c r="C301" s="290"/>
      <c r="D301" s="142"/>
      <c r="E301" s="290"/>
      <c r="F301" s="142"/>
      <c r="G301" s="290"/>
      <c r="H301" s="290"/>
      <c r="I301" s="290"/>
      <c r="J301" s="318"/>
      <c r="K301" s="318"/>
      <c r="L301" s="318"/>
      <c r="M301" s="318"/>
      <c r="N301" s="318"/>
      <c r="O301" s="318"/>
      <c r="P301" s="318"/>
      <c r="Q301" s="318"/>
      <c r="R301" s="318"/>
      <c r="S301" s="318"/>
      <c r="T301" s="318"/>
      <c r="U301" s="318"/>
      <c r="V301" s="318"/>
      <c r="W301" s="318"/>
      <c r="X301" s="318"/>
      <c r="Y301" s="318"/>
      <c r="Z301" s="318"/>
      <c r="AA301" s="318"/>
      <c r="AB301" s="318"/>
      <c r="AC301" s="318"/>
      <c r="AD301" s="318"/>
      <c r="AE301" s="138"/>
      <c r="AF301" s="409"/>
      <c r="AG301" s="769"/>
      <c r="AH301" s="771"/>
      <c r="AI301" s="769"/>
      <c r="AJ301" s="43">
        <f>AJ299/3</f>
        <v>0.33333333333333331</v>
      </c>
      <c r="AK301" s="43">
        <f t="shared" si="61"/>
        <v>9.9999999999999992E-2</v>
      </c>
      <c r="AL301" s="43">
        <v>0</v>
      </c>
      <c r="AM301" s="44"/>
      <c r="AN301" s="44"/>
      <c r="AO301" s="44" t="str">
        <f>IF(Check!S892=$AQ$4,AJ301,IF(Check!S892=$AQ$6,AK301,IF(OR(Check!S892=$AQ$5,AO299=""),AL301,"NB")))</f>
        <v>NB</v>
      </c>
      <c r="AP301" s="981"/>
      <c r="AQ301" s="44"/>
      <c r="AR301" s="44"/>
      <c r="AS301" s="146"/>
      <c r="AT301" s="41"/>
      <c r="AU301" s="41"/>
      <c r="AV301" s="442"/>
      <c r="AW301" s="44"/>
      <c r="AX301" s="41"/>
      <c r="AY301" s="42"/>
      <c r="AZ301" s="41"/>
      <c r="BA301" s="42"/>
      <c r="BB301" s="577"/>
      <c r="BC301" s="582"/>
      <c r="BD301" s="398"/>
      <c r="BE301" s="579"/>
      <c r="BF301" s="577"/>
      <c r="BG301" s="582"/>
      <c r="BH301" s="398"/>
      <c r="BI301" s="579"/>
      <c r="BJ301" s="138"/>
    </row>
    <row r="302" spans="1:62" ht="15" customHeight="1">
      <c r="A302" s="138"/>
      <c r="B302" s="142"/>
      <c r="C302" s="290"/>
      <c r="D302" s="142"/>
      <c r="E302" s="290"/>
      <c r="F302" s="142"/>
      <c r="G302" s="290"/>
      <c r="H302" s="290"/>
      <c r="I302" s="290"/>
      <c r="J302" s="318"/>
      <c r="K302" s="318"/>
      <c r="L302" s="318"/>
      <c r="M302" s="318"/>
      <c r="N302" s="318"/>
      <c r="O302" s="318"/>
      <c r="P302" s="318"/>
      <c r="Q302" s="318"/>
      <c r="R302" s="318"/>
      <c r="S302" s="318"/>
      <c r="T302" s="318"/>
      <c r="U302" s="318"/>
      <c r="V302" s="318"/>
      <c r="W302" s="318"/>
      <c r="X302" s="318"/>
      <c r="Y302" s="318"/>
      <c r="Z302" s="318"/>
      <c r="AA302" s="318"/>
      <c r="AB302" s="318"/>
      <c r="AC302" s="318"/>
      <c r="AD302" s="318"/>
      <c r="AE302" s="138"/>
      <c r="AF302" s="335"/>
      <c r="AG302" s="340"/>
      <c r="AH302" s="766"/>
      <c r="AI302" s="340"/>
      <c r="AJ302" s="43">
        <f>AJ299/3</f>
        <v>0.33333333333333331</v>
      </c>
      <c r="AK302" s="43">
        <f t="shared" si="61"/>
        <v>9.9999999999999992E-2</v>
      </c>
      <c r="AL302" s="43">
        <v>0</v>
      </c>
      <c r="AM302" s="44"/>
      <c r="AN302" s="44"/>
      <c r="AO302" s="44" t="str">
        <f>IF(Check!S895=$AQ$4,AJ302,IF(Check!S895=$AQ$6,AK302,IF(OR(Check!S895=$AQ$5,AO299=""),AL302,"NB")))</f>
        <v>NB</v>
      </c>
      <c r="AP302" s="44"/>
      <c r="AQ302" s="44"/>
      <c r="AR302" s="44"/>
      <c r="AS302" s="41"/>
      <c r="AT302" s="41"/>
      <c r="AU302" s="41"/>
      <c r="AV302" s="442"/>
      <c r="AW302" s="44"/>
      <c r="AX302" s="41"/>
      <c r="AY302" s="42"/>
      <c r="AZ302" s="41"/>
      <c r="BA302" s="42"/>
      <c r="BB302" s="577"/>
      <c r="BC302" s="582"/>
      <c r="BD302" s="398"/>
      <c r="BE302" s="579"/>
      <c r="BF302" s="577"/>
      <c r="BG302" s="582"/>
      <c r="BH302" s="398"/>
      <c r="BI302" s="579"/>
      <c r="BJ302" s="138"/>
    </row>
    <row r="303" spans="1:62" ht="15" customHeight="1">
      <c r="A303" s="138"/>
      <c r="B303" s="142"/>
      <c r="C303" s="290"/>
      <c r="D303" s="142"/>
      <c r="E303" s="290"/>
      <c r="F303" s="142"/>
      <c r="G303" s="290"/>
      <c r="H303" s="290"/>
      <c r="I303" s="290"/>
      <c r="J303" s="318"/>
      <c r="K303" s="318"/>
      <c r="L303" s="318"/>
      <c r="M303" s="318"/>
      <c r="N303" s="318"/>
      <c r="O303" s="318"/>
      <c r="P303" s="318"/>
      <c r="Q303" s="318"/>
      <c r="R303" s="318"/>
      <c r="S303" s="318"/>
      <c r="T303" s="318"/>
      <c r="U303" s="318"/>
      <c r="V303" s="318"/>
      <c r="W303" s="318"/>
      <c r="X303" s="318"/>
      <c r="Y303" s="318"/>
      <c r="Z303" s="318"/>
      <c r="AA303" s="318"/>
      <c r="AB303" s="318"/>
      <c r="AC303" s="318"/>
      <c r="AD303" s="318"/>
      <c r="AE303" s="138"/>
      <c r="AF303" s="576">
        <f>AQ59</f>
        <v>343</v>
      </c>
      <c r="AG303" s="777" t="str">
        <f>AR59</f>
        <v>Haushälterische Bodennutzung</v>
      </c>
      <c r="AH303" s="1098"/>
      <c r="AI303" s="1099"/>
      <c r="AJ303" s="1092">
        <v>1</v>
      </c>
      <c r="AK303" s="1074" t="s">
        <v>46</v>
      </c>
      <c r="AL303" s="1075">
        <v>0</v>
      </c>
      <c r="AM303" s="1076"/>
      <c r="AN303" s="1076"/>
      <c r="AO303" s="1076" t="str">
        <f>IF(Check!S898=$AQ$4,AJ303,IF(OR(Check!S898=$AQ$6,Check!S898=$AQ$5),AL303,"NB"))</f>
        <v>NB</v>
      </c>
      <c r="AP303" s="1077"/>
      <c r="AQ303" s="1076" t="str">
        <f>IF(AP303=1,1,
IF(AO303=1,1,
IF(COUNTIF(AO304:AO306,"NB"),"NB",
IF(SUM(AO304:AO306)&gt;1,1,
IF(AND(SUM(AO304:AO306)&gt;=0,SUM(AO304:AO306)&lt;=1),SUM(AO304:AO306),"NB")))))</f>
        <v>NB</v>
      </c>
      <c r="AR303" s="1076"/>
      <c r="AS303" s="1078" t="str">
        <f>IF(AQ303="NB","NB",AQ303)</f>
        <v>NB</v>
      </c>
      <c r="AT303" s="1076"/>
      <c r="AU303" s="1076"/>
      <c r="AV303" s="1093"/>
      <c r="AW303" s="1079"/>
      <c r="AX303" s="37"/>
      <c r="AY303" s="1105"/>
      <c r="AZ303" s="37"/>
      <c r="BA303" s="1105"/>
      <c r="BB303" s="577" t="str">
        <f>IF($AS$303="NB","",
IF($AS$303&gt;=0.85,AF303&amp;" "&amp;AG303&amp;"; ",""))</f>
        <v/>
      </c>
      <c r="BC303" s="582" t="str">
        <f>IF($AS$303="NB","",
IF(AND($AS$303&gt;=0.65,$AS$303&lt;0.85),AF303&amp;" "&amp;AG303&amp;"; ",""))</f>
        <v/>
      </c>
      <c r="BD303" s="398" t="str">
        <f>IF($AS$303="NB","",
IF(AND($AS$303&gt;=0.5,$AS$303&lt;0.65),AF303&amp;" "&amp;AG303&amp;"; ",""))</f>
        <v/>
      </c>
      <c r="BE303" s="579" t="str">
        <f>IF($AS$303="NB","",
IF($AS$303&lt;0.5,AF303&amp;" "&amp;AG303&amp;"; ",""))</f>
        <v/>
      </c>
      <c r="BF303" s="577" t="str">
        <f>IF($AS$303="NB","",
IF($AS$303&gt;=0.85,AF303&amp;" ",""))</f>
        <v/>
      </c>
      <c r="BG303" s="582" t="str">
        <f>IF($AS$303="NB","",
IF(AND($AS$303&gt;=0.65,$AS$303&lt;0.85),AF303&amp;" ",""))</f>
        <v/>
      </c>
      <c r="BH303" s="398" t="str">
        <f>IF($AS$303="NB","",
IF(AND($AS$303&gt;=0.5,$AS$303&lt;0.65),AF303&amp;" ",""))</f>
        <v/>
      </c>
      <c r="BI303" s="579" t="str">
        <f>IF($AS$303="NB","",
IF($AS$303&lt;0.5,AF303&amp;" ",""))</f>
        <v/>
      </c>
      <c r="BJ303" s="138"/>
    </row>
    <row r="304" spans="1:62" ht="15" customHeight="1">
      <c r="A304" s="138"/>
      <c r="B304" s="142"/>
      <c r="C304" s="290"/>
      <c r="D304" s="142"/>
      <c r="E304" s="290"/>
      <c r="F304" s="142"/>
      <c r="G304" s="290"/>
      <c r="H304" s="290"/>
      <c r="I304" s="290"/>
      <c r="J304" s="318"/>
      <c r="K304" s="318"/>
      <c r="L304" s="318"/>
      <c r="M304" s="318"/>
      <c r="N304" s="318"/>
      <c r="O304" s="318"/>
      <c r="P304" s="318"/>
      <c r="Q304" s="318"/>
      <c r="R304" s="318"/>
      <c r="S304" s="318"/>
      <c r="T304" s="318"/>
      <c r="U304" s="318"/>
      <c r="V304" s="318"/>
      <c r="W304" s="318"/>
      <c r="X304" s="318"/>
      <c r="Y304" s="318"/>
      <c r="Z304" s="318"/>
      <c r="AA304" s="318"/>
      <c r="AB304" s="318"/>
      <c r="AC304" s="318"/>
      <c r="AD304" s="318"/>
      <c r="AE304" s="138"/>
      <c r="AF304" s="335"/>
      <c r="AG304" s="340"/>
      <c r="AH304" s="781"/>
      <c r="AI304" s="778"/>
      <c r="AJ304" s="397">
        <f>1/3</f>
        <v>0.33333333333333331</v>
      </c>
      <c r="AK304" s="43">
        <f t="shared" ref="AK304:AK306" si="62">AJ304*0.3</f>
        <v>9.9999999999999992E-2</v>
      </c>
      <c r="AL304" s="43">
        <v>0</v>
      </c>
      <c r="AM304" s="44"/>
      <c r="AN304" s="44"/>
      <c r="AO304" s="44" t="str">
        <f>IF(Check!S901=$AQ$4,AJ304,IF(Check!S901=$AQ$6,AK304,IF(OR(Check!S901=$AQ$5,AO303=""),AL304,"NB")))</f>
        <v>NB</v>
      </c>
      <c r="AP304" s="44"/>
      <c r="AQ304" s="44"/>
      <c r="AR304" s="44"/>
      <c r="AS304" s="41"/>
      <c r="AT304" s="41"/>
      <c r="AU304" s="41"/>
      <c r="AV304" s="442"/>
      <c r="AW304" s="44"/>
      <c r="AX304" s="41"/>
      <c r="AY304" s="38"/>
      <c r="AZ304" s="41"/>
      <c r="BA304" s="38"/>
      <c r="BB304" s="577"/>
      <c r="BC304" s="582"/>
      <c r="BD304" s="398"/>
      <c r="BE304" s="579"/>
      <c r="BF304" s="577"/>
      <c r="BG304" s="582"/>
      <c r="BH304" s="398"/>
      <c r="BI304" s="579"/>
      <c r="BJ304" s="138"/>
    </row>
    <row r="305" spans="1:62" ht="15" customHeight="1">
      <c r="A305" s="138"/>
      <c r="B305" s="142"/>
      <c r="C305" s="290"/>
      <c r="D305" s="142"/>
      <c r="E305" s="290"/>
      <c r="F305" s="142"/>
      <c r="G305" s="290"/>
      <c r="H305" s="290"/>
      <c r="I305" s="290"/>
      <c r="J305" s="318"/>
      <c r="K305" s="318"/>
      <c r="L305" s="318"/>
      <c r="M305" s="318"/>
      <c r="N305" s="318"/>
      <c r="O305" s="318"/>
      <c r="P305" s="318"/>
      <c r="Q305" s="318"/>
      <c r="R305" s="318"/>
      <c r="S305" s="318"/>
      <c r="T305" s="318"/>
      <c r="U305" s="318"/>
      <c r="V305" s="318"/>
      <c r="W305" s="318"/>
      <c r="X305" s="318"/>
      <c r="Y305" s="318"/>
      <c r="Z305" s="318"/>
      <c r="AA305" s="318"/>
      <c r="AB305" s="318"/>
      <c r="AC305" s="318"/>
      <c r="AD305" s="318"/>
      <c r="AE305" s="138" t="s">
        <v>28</v>
      </c>
      <c r="AF305" s="409"/>
      <c r="AG305" s="769"/>
      <c r="AH305" s="781"/>
      <c r="AI305" s="778"/>
      <c r="AJ305" s="397">
        <f t="shared" ref="AJ305:AJ306" si="63">1/3</f>
        <v>0.33333333333333331</v>
      </c>
      <c r="AK305" s="43">
        <f t="shared" si="62"/>
        <v>9.9999999999999992E-2</v>
      </c>
      <c r="AL305" s="43">
        <v>0</v>
      </c>
      <c r="AM305" s="44"/>
      <c r="AN305" s="44"/>
      <c r="AO305" s="44" t="str">
        <f>IF(Check!S904=$AQ$4,AJ305,IF(Check!S904=$AQ$6,AK305,IF(OR(Check!S904=$AQ$5,AO303=""),AL305,"NB")))</f>
        <v>NB</v>
      </c>
      <c r="AP305" s="981"/>
      <c r="AQ305" s="44"/>
      <c r="AR305" s="44"/>
      <c r="AS305" s="146"/>
      <c r="AT305" s="1"/>
      <c r="AU305" s="1"/>
      <c r="AV305" s="442"/>
      <c r="AW305" s="44"/>
      <c r="AX305" s="1"/>
      <c r="AY305" s="38"/>
      <c r="AZ305" s="1"/>
      <c r="BA305" s="38"/>
      <c r="BB305" s="577"/>
      <c r="BC305" s="582"/>
      <c r="BD305" s="398"/>
      <c r="BE305" s="579"/>
      <c r="BF305" s="577"/>
      <c r="BG305" s="582"/>
      <c r="BH305" s="398"/>
      <c r="BI305" s="579"/>
      <c r="BJ305" s="138"/>
    </row>
    <row r="306" spans="1:62" ht="15" customHeight="1">
      <c r="A306" s="138"/>
      <c r="B306" s="142"/>
      <c r="C306" s="290"/>
      <c r="D306" s="142"/>
      <c r="E306" s="290"/>
      <c r="F306" s="142"/>
      <c r="G306" s="290"/>
      <c r="H306" s="290"/>
      <c r="I306" s="290"/>
      <c r="J306" s="318"/>
      <c r="K306" s="318"/>
      <c r="L306" s="318"/>
      <c r="M306" s="318"/>
      <c r="N306" s="318"/>
      <c r="O306" s="318"/>
      <c r="P306" s="318"/>
      <c r="Q306" s="318"/>
      <c r="R306" s="318"/>
      <c r="S306" s="318"/>
      <c r="T306" s="318"/>
      <c r="U306" s="318"/>
      <c r="V306" s="318"/>
      <c r="W306" s="318"/>
      <c r="X306" s="318"/>
      <c r="Y306" s="318"/>
      <c r="Z306" s="318"/>
      <c r="AA306" s="318"/>
      <c r="AB306" s="318"/>
      <c r="AC306" s="318"/>
      <c r="AD306" s="318"/>
      <c r="AE306" s="138" t="s">
        <v>28</v>
      </c>
      <c r="AF306" s="336"/>
      <c r="AG306" s="376"/>
      <c r="AH306" s="782"/>
      <c r="AI306" s="779"/>
      <c r="AJ306" s="413">
        <f t="shared" si="63"/>
        <v>0.33333333333333331</v>
      </c>
      <c r="AK306" s="406">
        <f t="shared" si="62"/>
        <v>9.9999999999999992E-2</v>
      </c>
      <c r="AL306" s="406">
        <v>0</v>
      </c>
      <c r="AM306" s="39"/>
      <c r="AN306" s="39"/>
      <c r="AO306" s="39" t="str">
        <f>IF(Check!S907=$AQ$4,AJ306,IF(Check!S907=$AQ$6,AK306,IF(OR(Check!S907=$AQ$5,AO303=""),AL306,"NB")))</f>
        <v>NB</v>
      </c>
      <c r="AP306" s="39"/>
      <c r="AQ306" s="39"/>
      <c r="AR306" s="39"/>
      <c r="AS306" s="40"/>
      <c r="AT306" s="40"/>
      <c r="AU306" s="40"/>
      <c r="AV306" s="443"/>
      <c r="AW306" s="39"/>
      <c r="AX306" s="447"/>
      <c r="AY306" s="444"/>
      <c r="AZ306" s="447"/>
      <c r="BA306" s="444"/>
      <c r="BB306" s="703"/>
      <c r="BC306" s="583"/>
      <c r="BD306" s="408"/>
      <c r="BE306" s="580"/>
      <c r="BF306" s="703"/>
      <c r="BG306" s="583"/>
      <c r="BH306" s="408"/>
      <c r="BI306" s="580"/>
      <c r="BJ306" s="138"/>
    </row>
    <row r="307" spans="1:62" ht="15" customHeight="1">
      <c r="A307" s="138"/>
      <c r="B307" s="142"/>
      <c r="C307" s="290"/>
      <c r="D307" s="142"/>
      <c r="E307" s="290"/>
      <c r="F307" s="142"/>
      <c r="G307" s="290"/>
      <c r="H307" s="290"/>
      <c r="I307" s="290"/>
      <c r="J307" s="318"/>
      <c r="K307" s="318"/>
      <c r="L307" s="318"/>
      <c r="M307" s="318"/>
      <c r="N307" s="318"/>
      <c r="O307" s="318"/>
      <c r="P307" s="318"/>
      <c r="Q307" s="318"/>
      <c r="R307" s="318"/>
      <c r="S307" s="318"/>
      <c r="T307" s="318"/>
      <c r="U307" s="318"/>
      <c r="V307" s="318"/>
      <c r="W307" s="318"/>
      <c r="X307" s="318"/>
      <c r="Y307" s="318"/>
      <c r="Z307" s="318"/>
      <c r="AA307" s="318"/>
      <c r="AB307" s="318"/>
      <c r="AC307" s="318"/>
      <c r="AD307" s="318"/>
      <c r="AE307" s="138" t="s">
        <v>28</v>
      </c>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BB307" s="138"/>
      <c r="BC307" s="138"/>
      <c r="BD307" s="144"/>
      <c r="BE307" s="353"/>
      <c r="BF307" s="353"/>
      <c r="BG307" s="353"/>
      <c r="BH307" s="353"/>
      <c r="BI307" s="353"/>
      <c r="BJ307" s="138"/>
    </row>
    <row r="308" spans="1:62" ht="15" customHeight="1">
      <c r="A308" s="138"/>
      <c r="B308" s="142"/>
      <c r="C308" s="290"/>
      <c r="D308" s="142"/>
      <c r="E308" s="290"/>
      <c r="F308" s="142"/>
      <c r="G308" s="290"/>
      <c r="H308" s="290"/>
      <c r="I308" s="290"/>
      <c r="J308" s="318"/>
      <c r="K308" s="318"/>
      <c r="L308" s="318"/>
      <c r="M308" s="318"/>
      <c r="N308" s="318"/>
      <c r="O308" s="318"/>
      <c r="P308" s="318"/>
      <c r="Q308" s="318"/>
      <c r="R308" s="318"/>
      <c r="S308" s="318"/>
      <c r="T308" s="318"/>
      <c r="U308" s="318"/>
      <c r="V308" s="318"/>
      <c r="W308" s="318"/>
      <c r="X308" s="318"/>
      <c r="Y308" s="318"/>
      <c r="Z308" s="318"/>
      <c r="AA308" s="318"/>
      <c r="AB308" s="318"/>
      <c r="AC308" s="318"/>
      <c r="AD308" s="318"/>
      <c r="AE308" s="138" t="s">
        <v>28</v>
      </c>
      <c r="AF308" s="138"/>
      <c r="AG308" s="138"/>
      <c r="AH308" s="138"/>
      <c r="AI308" s="138"/>
      <c r="AJ308" s="138"/>
      <c r="AK308" s="138"/>
      <c r="AL308" s="138"/>
      <c r="AM308" s="138"/>
      <c r="AN308" s="138"/>
      <c r="AO308" s="138"/>
      <c r="AP308" s="138"/>
      <c r="AQ308" s="138"/>
      <c r="AR308" s="138"/>
      <c r="AS308" s="138"/>
      <c r="AT308" s="138"/>
      <c r="AU308" s="138"/>
      <c r="AV308" s="138"/>
      <c r="AW308" s="395"/>
      <c r="AX308" s="395"/>
      <c r="AY308" s="395"/>
      <c r="BB308" s="395"/>
      <c r="BC308" s="395"/>
      <c r="BD308" s="401" t="s">
        <v>1987</v>
      </c>
      <c r="BE308" s="803"/>
      <c r="BF308" s="1262"/>
      <c r="BG308" s="395"/>
      <c r="BH308" s="401" t="s">
        <v>1987</v>
      </c>
      <c r="BI308" s="803"/>
      <c r="BJ308" s="138"/>
    </row>
    <row r="309" spans="1:62" ht="15" customHeight="1">
      <c r="A309" s="138"/>
      <c r="B309" s="142"/>
      <c r="C309" s="290"/>
      <c r="D309" s="142"/>
      <c r="E309" s="290"/>
      <c r="F309" s="142"/>
      <c r="G309" s="290"/>
      <c r="H309" s="290"/>
      <c r="I309" s="290"/>
      <c r="J309" s="318"/>
      <c r="K309" s="318"/>
      <c r="L309" s="318"/>
      <c r="M309" s="318"/>
      <c r="N309" s="318"/>
      <c r="O309" s="318"/>
      <c r="P309" s="318"/>
      <c r="Q309" s="318"/>
      <c r="R309" s="318"/>
      <c r="S309" s="318"/>
      <c r="T309" s="318"/>
      <c r="U309" s="318"/>
      <c r="V309" s="318"/>
      <c r="W309" s="318"/>
      <c r="X309" s="318"/>
      <c r="Y309" s="318"/>
      <c r="Z309" s="318"/>
      <c r="AA309" s="318"/>
      <c r="AB309" s="318"/>
      <c r="AC309" s="318"/>
      <c r="AD309" s="318"/>
      <c r="AE309" s="138" t="s">
        <v>28</v>
      </c>
      <c r="AF309" s="138"/>
      <c r="AG309" s="142"/>
      <c r="AH309" s="142"/>
      <c r="AI309" s="142"/>
      <c r="AJ309" s="321"/>
      <c r="AK309" s="321"/>
      <c r="AL309" s="321"/>
      <c r="AM309" s="322"/>
      <c r="AN309" s="322"/>
      <c r="AO309" s="322"/>
      <c r="AP309" s="322"/>
      <c r="AQ309" s="322"/>
      <c r="AR309" s="322"/>
      <c r="AS309" s="143"/>
      <c r="AT309" s="143"/>
      <c r="AU309" s="143"/>
      <c r="AV309" s="138"/>
      <c r="AW309" s="711"/>
      <c r="AX309" s="395"/>
      <c r="AY309" s="395"/>
      <c r="BB309" s="395"/>
      <c r="BC309" s="395"/>
      <c r="BD309" s="1458" t="s">
        <v>435</v>
      </c>
      <c r="BE309" s="1459"/>
      <c r="BF309" s="1263"/>
      <c r="BG309" s="395"/>
      <c r="BH309" s="1458" t="s">
        <v>435</v>
      </c>
      <c r="BI309" s="1459"/>
      <c r="BJ309" s="138"/>
    </row>
    <row r="310" spans="1:62" ht="15" customHeight="1">
      <c r="A310" s="138"/>
      <c r="B310" s="142"/>
      <c r="C310" s="290"/>
      <c r="D310" s="142"/>
      <c r="E310" s="290"/>
      <c r="F310" s="142"/>
      <c r="G310" s="290"/>
      <c r="H310" s="290"/>
      <c r="I310" s="290"/>
      <c r="J310" s="318"/>
      <c r="K310" s="318"/>
      <c r="L310" s="318"/>
      <c r="M310" s="318"/>
      <c r="N310" s="318"/>
      <c r="O310" s="318"/>
      <c r="P310" s="318"/>
      <c r="Q310" s="318"/>
      <c r="R310" s="318"/>
      <c r="S310" s="318"/>
      <c r="T310" s="318"/>
      <c r="U310" s="318"/>
      <c r="V310" s="318"/>
      <c r="W310" s="318"/>
      <c r="X310" s="318"/>
      <c r="Y310" s="318"/>
      <c r="Z310" s="318"/>
      <c r="AA310" s="318"/>
      <c r="AB310" s="318"/>
      <c r="AC310" s="318"/>
      <c r="AD310" s="318"/>
      <c r="AE310" s="138" t="s">
        <v>28</v>
      </c>
      <c r="AF310" s="153"/>
      <c r="AG310" s="142"/>
      <c r="AH310" s="142"/>
      <c r="AI310" s="142"/>
      <c r="AJ310" s="321"/>
      <c r="AK310" s="321"/>
      <c r="AL310" s="321"/>
      <c r="AM310" s="322"/>
      <c r="AN310" s="322"/>
      <c r="AO310" s="322"/>
      <c r="AP310" s="322"/>
      <c r="AQ310" s="322"/>
      <c r="AR310" s="322"/>
      <c r="AS310" s="143"/>
      <c r="AT310" s="143"/>
      <c r="AU310" s="143"/>
      <c r="AV310" s="143"/>
      <c r="AW310" s="711"/>
      <c r="AX310" s="395"/>
      <c r="AY310" s="395"/>
      <c r="BB310" s="395"/>
      <c r="BC310" s="1460" t="s">
        <v>450</v>
      </c>
      <c r="BD310" s="712" t="str">
        <f>Text!$BD$73&amp;Text!$BD$81&amp;Text!$BD$93&amp;Text!$BD$105&amp;Text!$BD$115&amp;Text!$BD$123&amp;Text!$BD$133&amp;Text!$BD$137&amp;Text!$BD$142&amp;Text!$BD$148&amp;Text!$BD$153&amp;Text!$BD$164&amp;Text!$BD$169&amp;Text!$BD$177</f>
        <v/>
      </c>
      <c r="BE310" s="1260" t="str">
        <f>Text!$BE$73&amp;Text!$BE$81&amp;Text!$BE$93&amp;Text!$BE$105&amp;Text!$BE$115&amp;Text!$BE$123&amp;Text!$BE$133&amp;Text!$BE$137&amp;Text!$BE$142&amp;Text!$BE$148&amp;Text!$BE$153&amp;Text!$BE$164&amp;Text!$BE$169&amp;Text!$BE$177</f>
        <v/>
      </c>
      <c r="BF310" s="1264"/>
      <c r="BG310" s="1460" t="s">
        <v>450</v>
      </c>
      <c r="BH310" s="712" t="str">
        <f>Text!$BH$73&amp;Text!$BH$81&amp;Text!$BH$93&amp;Text!$BH$105&amp;Text!$BH$115&amp;Text!$BH$123&amp;Text!$BH$133&amp;Text!$BH$137&amp;Text!$BH$142&amp;Text!$BH$148&amp;Text!$BH$153&amp;Text!$BH$164&amp;Text!$BH$169&amp;Text!$BH$177</f>
        <v/>
      </c>
      <c r="BI310" s="1260" t="str">
        <f>Text!$BI$73&amp;Text!$BI$81&amp;Text!$BI$93&amp;Text!$BI$105&amp;Text!$BI$115&amp;Text!$BI$123&amp;Text!$BI$133&amp;Text!$BI$137&amp;Text!$BI$142&amp;Text!$BI$148&amp;Text!$BI$153&amp;Text!$BI$164&amp;Text!$BI$169&amp;Text!$BI$177</f>
        <v/>
      </c>
      <c r="BJ310" s="138"/>
    </row>
    <row r="311" spans="1:62" ht="15" customHeight="1">
      <c r="A311" s="138"/>
      <c r="B311" s="142"/>
      <c r="C311" s="290"/>
      <c r="D311" s="142"/>
      <c r="E311" s="290"/>
      <c r="F311" s="142"/>
      <c r="G311" s="290"/>
      <c r="H311" s="290"/>
      <c r="I311" s="290"/>
      <c r="J311" s="318"/>
      <c r="K311" s="318"/>
      <c r="L311" s="318"/>
      <c r="M311" s="318"/>
      <c r="N311" s="318"/>
      <c r="O311" s="318"/>
      <c r="P311" s="318"/>
      <c r="Q311" s="318"/>
      <c r="R311" s="318"/>
      <c r="S311" s="318"/>
      <c r="T311" s="318"/>
      <c r="U311" s="318"/>
      <c r="V311" s="318"/>
      <c r="W311" s="318"/>
      <c r="X311" s="138"/>
      <c r="Y311" s="138"/>
      <c r="Z311" s="318"/>
      <c r="AA311" s="318"/>
      <c r="AB311" s="318"/>
      <c r="AC311" s="318"/>
      <c r="AD311" s="318"/>
      <c r="AE311" s="138" t="s">
        <v>28</v>
      </c>
      <c r="AF311" s="153"/>
      <c r="AG311" s="142"/>
      <c r="AH311" s="142"/>
      <c r="AI311" s="142"/>
      <c r="AJ311" s="321"/>
      <c r="AK311" s="321"/>
      <c r="AL311" s="321"/>
      <c r="AM311" s="322"/>
      <c r="AN311" s="322"/>
      <c r="AO311" s="322"/>
      <c r="AP311" s="322"/>
      <c r="AQ311" s="322"/>
      <c r="AR311" s="322"/>
      <c r="AS311" s="143"/>
      <c r="AT311" s="143"/>
      <c r="AU311" s="143"/>
      <c r="AV311" s="143"/>
      <c r="AW311" s="711"/>
      <c r="AX311" s="395"/>
      <c r="AY311" s="395"/>
      <c r="BB311" s="395"/>
      <c r="BC311" s="1461"/>
      <c r="BD311" s="713" t="str">
        <f>Text!$BD$183&amp;Text!$BD$191&amp;Text!$BD$196&amp;Text!$BD$201&amp;Text!$BD$210&amp;Text!$BD$214&amp;Text!$BD$222</f>
        <v/>
      </c>
      <c r="BE311" s="1126" t="str">
        <f>Text!$BE$183&amp;Text!$BE$191&amp;Text!$BE$196&amp;Text!$BE$201&amp;Text!$BE$210&amp;Text!$BE$214&amp;Text!$BE$222</f>
        <v/>
      </c>
      <c r="BF311" s="1265"/>
      <c r="BG311" s="1461"/>
      <c r="BH311" s="713" t="str">
        <f>Text!$BH$183&amp;Text!$BH$191&amp;Text!$BH$196&amp;Text!$BH$201&amp;Text!$BH$210&amp;Text!$BH$214&amp;Text!$BH$222</f>
        <v/>
      </c>
      <c r="BI311" s="1126" t="str">
        <f>Text!$BI$183&amp;Text!$BI$191&amp;Text!$BI$196&amp;Text!$BI$201&amp;Text!$BI$210&amp;Text!$BI$214&amp;Text!$BI$222</f>
        <v/>
      </c>
      <c r="BJ311" s="138"/>
    </row>
    <row r="312" spans="1:62" ht="15" customHeight="1">
      <c r="A312" s="138"/>
      <c r="B312" s="291"/>
      <c r="C312" s="869" t="str">
        <f>IF(Tool!$H$7="Français",G312,IF(Tool!$H$7="Italiano",I312,E312))</f>
        <v>Pre-Check SNBS 2023.1 Hochbau</v>
      </c>
      <c r="D312" s="907"/>
      <c r="E312" s="1658" t="s">
        <v>1358</v>
      </c>
      <c r="F312" s="1659"/>
      <c r="G312" s="1658" t="s">
        <v>1359</v>
      </c>
      <c r="H312" s="907"/>
      <c r="I312" s="1624" t="s">
        <v>1966</v>
      </c>
      <c r="J312" s="317"/>
      <c r="K312" s="1608" t="s">
        <v>439</v>
      </c>
      <c r="L312" s="1609"/>
      <c r="M312" s="1609"/>
      <c r="N312" s="1609"/>
      <c r="O312" s="1609"/>
      <c r="P312" s="884"/>
      <c r="Q312" s="1128">
        <f>IF(AU74="NB",0,AU74)</f>
        <v>0</v>
      </c>
      <c r="R312" s="1128">
        <f>IF(AY74="NB",0,AY74)</f>
        <v>0</v>
      </c>
      <c r="S312" s="1128" t="s">
        <v>1637</v>
      </c>
      <c r="T312" s="1128" t="s">
        <v>1638</v>
      </c>
      <c r="U312" s="1557" t="s">
        <v>1646</v>
      </c>
      <c r="V312" s="138"/>
      <c r="W312" s="138"/>
      <c r="X312" s="318"/>
      <c r="Y312" s="318"/>
      <c r="Z312" s="138"/>
      <c r="AA312" s="138"/>
      <c r="AB312" s="138"/>
      <c r="AC312" s="138"/>
      <c r="AD312" s="138"/>
      <c r="AE312" s="138"/>
      <c r="AF312" s="138"/>
      <c r="AG312" s="138"/>
      <c r="AH312" s="138"/>
      <c r="AI312" s="138"/>
      <c r="AJ312" s="138"/>
      <c r="AK312" s="138"/>
      <c r="AL312" s="322"/>
      <c r="AM312" s="322"/>
      <c r="AN312" s="322"/>
      <c r="AO312" s="322"/>
      <c r="AP312" s="322"/>
      <c r="AQ312" s="322"/>
      <c r="AR312" s="143"/>
      <c r="AS312" s="143"/>
      <c r="AT312" s="143"/>
      <c r="AU312" s="144"/>
      <c r="AV312" s="144"/>
      <c r="AW312" s="710"/>
      <c r="AX312" s="710"/>
      <c r="AY312" s="710"/>
      <c r="BB312" s="395"/>
      <c r="BC312" s="1462"/>
      <c r="BD312" s="714" t="str">
        <f>Text!$BD$224&amp;Text!$BD$225&amp;Text!$BD$233&amp;Text!$BD$239&amp;Text!$BD$249&amp;Text!$BD$253&amp;Text!$BD$258&amp;Text!$BD$263&amp;Text!$BD$267&amp;Text!$BD$275&amp;Text!$BD$281&amp;Text!$BD$286&amp;Text!$BD$293&amp;Text!$BD$303</f>
        <v/>
      </c>
      <c r="BE312" s="715" t="str">
        <f>Text!$BE$224&amp;Text!$BE$225&amp;Text!$BE$233&amp;Text!$BE$239&amp;Text!$BE$249&amp;Text!$BE$253&amp;Text!$BE$258&amp;Text!$BE$263&amp;Text!$BE$267&amp;Text!$BE$275&amp;Text!$BE$281&amp;Text!$BE$286&amp;Text!$BE$293&amp;Text!$BE$303</f>
        <v/>
      </c>
      <c r="BF312" s="141"/>
      <c r="BG312" s="1462"/>
      <c r="BH312" s="714" t="str">
        <f>Text!$BH$224&amp;Text!$BH$225&amp;Text!$BH$233&amp;Text!$BH$239&amp;Text!$BH$249&amp;Text!$BH$253&amp;Text!$BH$258&amp;Text!$BH$263&amp;Text!$BH$267&amp;Text!$BH$275&amp;Text!$BH$281&amp;Text!$BH$286&amp;Text!$BH$293&amp;Text!$BH$303</f>
        <v/>
      </c>
      <c r="BI312" s="715" t="str">
        <f>Text!$BI$224&amp;Text!$BI$225&amp;Text!$BI$233&amp;Text!$BI$239&amp;Text!$BI$249&amp;Text!$BI$253&amp;Text!$BI$258&amp;Text!$BI$263&amp;Text!$BI$267&amp;Text!$BI$275&amp;Text!$BI$281&amp;Text!$BI$286&amp;Text!$BI$293&amp;Text!$BI$303</f>
        <v/>
      </c>
      <c r="BJ312" s="138"/>
    </row>
    <row r="313" spans="1:62" ht="15" customHeight="1">
      <c r="A313" s="138"/>
      <c r="B313" s="291"/>
      <c r="C313" s="432" t="str">
        <f>IF(Tool!$H$7="Français",G313,IF(Tool!$H$7="Italiano",I313,E313))</f>
        <v>Sprachenauswahl</v>
      </c>
      <c r="D313" s="907"/>
      <c r="E313" s="1660" t="s">
        <v>139</v>
      </c>
      <c r="F313" s="1659"/>
      <c r="G313" s="1660" t="s">
        <v>69</v>
      </c>
      <c r="H313" s="907"/>
      <c r="I313" s="431" t="s">
        <v>1103</v>
      </c>
      <c r="J313" s="318"/>
      <c r="K313" s="433"/>
      <c r="L313" s="434"/>
      <c r="M313" s="435"/>
      <c r="N313" s="435"/>
      <c r="O313" s="435"/>
      <c r="P313" s="435"/>
      <c r="Q313" s="918" t="s">
        <v>34</v>
      </c>
      <c r="R313" s="918" t="s">
        <v>34</v>
      </c>
      <c r="S313" s="918" t="s">
        <v>34</v>
      </c>
      <c r="T313" s="918" t="s">
        <v>34</v>
      </c>
      <c r="U313" s="918"/>
      <c r="V313" s="318"/>
      <c r="W313" s="318"/>
      <c r="X313" s="318"/>
      <c r="Y313" s="318"/>
      <c r="Z313" s="138"/>
      <c r="AA313" s="138"/>
      <c r="AB313" s="138"/>
      <c r="AC313" s="318"/>
      <c r="AD313" s="318"/>
      <c r="AE313" s="138"/>
      <c r="AF313" s="138"/>
      <c r="AG313" s="138"/>
      <c r="AH313" s="138"/>
      <c r="AI313" s="138"/>
      <c r="AJ313" s="349"/>
      <c r="AK313" s="349"/>
      <c r="AL313" s="349"/>
      <c r="AM313" s="349"/>
      <c r="AN313" s="349"/>
      <c r="AO313" s="349"/>
      <c r="AP313" s="349"/>
      <c r="AQ313" s="350"/>
      <c r="AR313" s="350"/>
      <c r="AS313" s="350"/>
      <c r="AT313" s="350"/>
      <c r="AU313" s="350"/>
      <c r="AV313" s="350"/>
      <c r="AW313" s="350"/>
      <c r="AX313" s="144"/>
      <c r="AY313" s="144"/>
      <c r="BB313" s="355"/>
      <c r="BC313" s="1460" t="s">
        <v>567</v>
      </c>
      <c r="BD313" s="712" t="str">
        <f>Text!$BD$77&amp;Text!$BD$85&amp;Text!$BD$89&amp;Text!$BD$97&amp;Text!$BD$101&amp;Text!$BD$111&amp;Text!$BD$119&amp;Text!$BD$128&amp;Text!$BD$160&amp;Text!$BD$173</f>
        <v/>
      </c>
      <c r="BE313" s="1125" t="str">
        <f>Text!$BE$77&amp;Text!$BE$85&amp;Text!$BE$89&amp;Text!$BE$97&amp;Text!$BE$101&amp;Text!$BE$111&amp;Text!$BE$119&amp;Text!$BE$128&amp;Text!$BE$160&amp;Text!$BE$173</f>
        <v/>
      </c>
      <c r="BF313" s="1265"/>
      <c r="BG313" s="1460" t="s">
        <v>567</v>
      </c>
      <c r="BH313" s="712" t="str">
        <f>Text!$BH$77&amp;Text!$BH$85&amp;Text!$BH$89&amp;Text!$BH$97&amp;Text!$BH$101&amp;Text!$BH$111&amp;Text!$BH$119&amp;Text!$BH$128&amp;Text!$BH$160&amp;Text!$BH$173</f>
        <v/>
      </c>
      <c r="BI313" s="1125" t="str">
        <f>Text!$BI$77&amp;Text!$BI$85&amp;Text!$BI$89&amp;Text!$BI$97&amp;Text!$BI$101&amp;Text!$BI$111&amp;Text!$BI$119&amp;Text!$BI$128&amp;Text!$BI$160&amp;Text!$BI$173</f>
        <v/>
      </c>
      <c r="BJ313" s="138"/>
    </row>
    <row r="314" spans="1:62" ht="15" customHeight="1">
      <c r="A314" s="138"/>
      <c r="B314" s="323"/>
      <c r="C314" s="415" t="str">
        <f>IF(Tool!$H$7="Français",G314,IF(Tool!$H$7="Italiano",I314,E314))</f>
        <v>Im Pre-Check navigieren</v>
      </c>
      <c r="D314" s="908"/>
      <c r="E314" s="1661" t="s">
        <v>137</v>
      </c>
      <c r="F314" s="1662"/>
      <c r="G314" s="1661" t="s">
        <v>118</v>
      </c>
      <c r="H314" s="908"/>
      <c r="I314" s="425" t="s">
        <v>1104</v>
      </c>
      <c r="J314" s="318"/>
      <c r="K314" s="1232" t="str">
        <f>AK23</f>
        <v>Gesellschaft</v>
      </c>
      <c r="L314" s="585"/>
      <c r="M314" s="585"/>
      <c r="N314" s="585"/>
      <c r="O314" s="586"/>
      <c r="P314" s="585"/>
      <c r="Q314" s="1233">
        <f>IF(AU73="NB",0,AU73)</f>
        <v>0</v>
      </c>
      <c r="R314" s="1233">
        <f>IF(AY73="NB",0,AY73)</f>
        <v>0</v>
      </c>
      <c r="S314" s="1233"/>
      <c r="T314" s="1233"/>
      <c r="U314" s="1551">
        <f>IF(AY79="NB",0,AY79)</f>
        <v>0</v>
      </c>
      <c r="V314" s="318"/>
      <c r="W314" s="318"/>
      <c r="X314" s="318"/>
      <c r="Y314" s="138"/>
      <c r="Z314" s="138"/>
      <c r="AA314" s="138"/>
      <c r="AB314" s="138"/>
      <c r="AC314" s="318"/>
      <c r="AD314" s="318"/>
      <c r="AE314" s="138"/>
      <c r="AF314" s="138"/>
      <c r="AG314" s="138"/>
      <c r="AH314" s="138"/>
      <c r="AI314" s="138"/>
      <c r="AJ314" s="138"/>
      <c r="AK314" s="138"/>
      <c r="AL314" s="138"/>
      <c r="AM314" s="138"/>
      <c r="AN314" s="138"/>
      <c r="AO314" s="138"/>
      <c r="AP314" s="138"/>
      <c r="AQ314" s="138"/>
      <c r="AR314" s="138"/>
      <c r="AS314" s="138"/>
      <c r="AT314" s="138"/>
      <c r="AU314" s="138"/>
      <c r="AV314" s="351"/>
      <c r="AW314" s="144"/>
      <c r="AX314" s="355"/>
      <c r="AY314" s="313"/>
      <c r="BB314" s="313"/>
      <c r="BC314" s="1461"/>
      <c r="BD314" s="713" t="str">
        <f>Text!$BD$187&amp;Text!$BD$206&amp;Text!$BD$218</f>
        <v/>
      </c>
      <c r="BE314" s="1126" t="str">
        <f>Text!$BE$187&amp;Text!$BE$206&amp;Text!$BE$218</f>
        <v/>
      </c>
      <c r="BF314" s="1265"/>
      <c r="BG314" s="1461"/>
      <c r="BH314" s="713" t="str">
        <f>Text!$BH$187&amp;Text!$BH$206&amp;Text!$BH$218</f>
        <v/>
      </c>
      <c r="BI314" s="1126" t="str">
        <f>Text!$BI$187&amp;Text!$BI$206&amp;Text!$BI$218</f>
        <v/>
      </c>
      <c r="BJ314" s="138"/>
    </row>
    <row r="315" spans="1:62" ht="15" customHeight="1">
      <c r="A315" s="138"/>
      <c r="B315" s="324"/>
      <c r="C315" s="284" t="str">
        <f>IF(Tool!$H$7="Français",G315,IF(Tool!$H$7="Italiano",I315,E315))</f>
        <v>Im Fenster navigieren</v>
      </c>
      <c r="D315" s="909"/>
      <c r="E315" s="1621" t="s">
        <v>138</v>
      </c>
      <c r="F315" s="1663"/>
      <c r="G315" s="1621" t="s">
        <v>122</v>
      </c>
      <c r="H315" s="909"/>
      <c r="I315" s="422" t="s">
        <v>1105</v>
      </c>
      <c r="J315" s="318"/>
      <c r="K315" s="814" t="str">
        <f>AL23</f>
        <v>Qualität der Entwicklung</v>
      </c>
      <c r="L315" s="585"/>
      <c r="M315" s="585"/>
      <c r="N315" s="585"/>
      <c r="O315" s="585"/>
      <c r="P315" s="585"/>
      <c r="Q315" s="919">
        <f>IF(AT73="NB",0,AT73)</f>
        <v>0</v>
      </c>
      <c r="R315" s="919">
        <f>IF(AX73="NB",0,AX73)</f>
        <v>0</v>
      </c>
      <c r="S315" s="919">
        <f>IF(AY75="NB",0,AY75)</f>
        <v>0</v>
      </c>
      <c r="T315" s="919">
        <f>IF(AY76="NB",0,AY76)</f>
        <v>0</v>
      </c>
      <c r="U315" s="919">
        <f>IF(AY78="NB",0,AY78)</f>
        <v>0</v>
      </c>
      <c r="V315" s="318"/>
      <c r="W315" s="138"/>
      <c r="X315" s="138"/>
      <c r="Y315" s="138"/>
      <c r="Z315" s="138"/>
      <c r="AA315" s="138"/>
      <c r="AB315" s="138"/>
      <c r="AC315" s="318"/>
      <c r="AD315" s="138"/>
      <c r="AE315" s="138"/>
      <c r="AF315" s="138"/>
      <c r="AG315" s="138"/>
      <c r="AH315" s="138"/>
      <c r="AI315" s="138"/>
      <c r="AJ315" s="138"/>
      <c r="AK315" s="138"/>
      <c r="AL315" s="138"/>
      <c r="AM315" s="138"/>
      <c r="AN315" s="138"/>
      <c r="AO315" s="138"/>
      <c r="AP315" s="138"/>
      <c r="AQ315" s="138"/>
      <c r="AR315" s="138"/>
      <c r="AS315" s="138"/>
      <c r="AT315" s="138"/>
      <c r="AU315" s="138"/>
      <c r="AV315" s="144"/>
      <c r="AW315" s="351"/>
      <c r="AX315" s="355"/>
      <c r="AY315" s="313"/>
      <c r="BB315" s="313"/>
      <c r="BC315" s="1462"/>
      <c r="BD315" s="714" t="str">
        <f>Text!$BD$245&amp;Text!$BD$271&amp;Text!$BD$299</f>
        <v/>
      </c>
      <c r="BE315" s="715" t="str">
        <f>Text!$BE$245&amp;Text!$BE$271&amp;Text!$BE$299</f>
        <v/>
      </c>
      <c r="BF315" s="141"/>
      <c r="BG315" s="1462"/>
      <c r="BH315" s="714" t="str">
        <f>Text!$BH$245&amp;Text!$BH$271&amp;Text!$BH$299</f>
        <v/>
      </c>
      <c r="BI315" s="715" t="str">
        <f>Text!$BI$245&amp;Text!$BI$271&amp;Text!$BI$299</f>
        <v/>
      </c>
      <c r="BJ315" s="312"/>
    </row>
    <row r="316" spans="1:62" ht="15" customHeight="1">
      <c r="A316" s="138"/>
      <c r="B316" s="324"/>
      <c r="C316" s="284" t="str">
        <f>IF(Tool!$H$7="Français",G316,IF(Tool!$H$7="Italiano",I316,E316))</f>
        <v>Zur Einleitung</v>
      </c>
      <c r="D316" s="909"/>
      <c r="E316" s="1621" t="s">
        <v>66</v>
      </c>
      <c r="F316" s="1663"/>
      <c r="G316" s="1621" t="s">
        <v>67</v>
      </c>
      <c r="H316" s="909"/>
      <c r="I316" s="422" t="s">
        <v>1106</v>
      </c>
      <c r="J316" s="318"/>
      <c r="K316" s="814" t="str">
        <f>AL26</f>
        <v>Angebot &amp; Erreichbarkeit</v>
      </c>
      <c r="L316" s="585"/>
      <c r="M316" s="585"/>
      <c r="N316" s="585"/>
      <c r="O316" s="585"/>
      <c r="P316" s="585"/>
      <c r="Q316" s="919">
        <f>IF(AT105="NB",0,AT105)</f>
        <v>0</v>
      </c>
      <c r="R316" s="919">
        <f>IF(AX105="NB",0,AX105)</f>
        <v>0</v>
      </c>
      <c r="S316" s="919">
        <f>IF(AY106="NB",0,AY106)</f>
        <v>0</v>
      </c>
      <c r="T316" s="919">
        <f>IF(AY107="NB",0,AY107)</f>
        <v>0</v>
      </c>
      <c r="U316" s="919">
        <f>IF(AY108="NB",0,AY108)</f>
        <v>0</v>
      </c>
      <c r="V316" s="138"/>
      <c r="W316" s="138"/>
      <c r="X316" s="138"/>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351"/>
      <c r="AW316" s="144"/>
      <c r="AX316" s="355"/>
      <c r="AY316" s="313"/>
      <c r="BB316" s="138"/>
      <c r="BC316" s="138"/>
      <c r="BD316" s="138"/>
      <c r="BE316" s="351"/>
      <c r="BF316" s="351"/>
      <c r="BG316" s="1461"/>
      <c r="BH316" s="713" t="str">
        <f>Text!$BH$183&amp;Text!$BH$187&amp;Text!$BH$196&amp;Text!$BH$206&amp;Text!$BH$214&amp;Text!$BH$218</f>
        <v/>
      </c>
      <c r="BI316" s="1126" t="str">
        <f>Text!$BI$183&amp;Text!$BI$187&amp;Text!$BI$196&amp;Text!$BI$206&amp;Text!$BI$214&amp;Text!$BI$218</f>
        <v/>
      </c>
      <c r="BJ316" s="313"/>
    </row>
    <row r="317" spans="1:62" ht="15" customHeight="1">
      <c r="A317" s="138"/>
      <c r="B317" s="324"/>
      <c r="C317" s="284" t="str">
        <f>IF(Tool!$H$7="Français",G317,IF(Tool!$H$7="Italiano",I317,E317))</f>
        <v>Zum Fragenkatalog</v>
      </c>
      <c r="D317" s="909"/>
      <c r="E317" s="1621" t="s">
        <v>73</v>
      </c>
      <c r="F317" s="1663"/>
      <c r="G317" s="1621" t="s">
        <v>68</v>
      </c>
      <c r="H317" s="909"/>
      <c r="I317" s="422" t="s">
        <v>1862</v>
      </c>
      <c r="J317" s="318"/>
      <c r="K317" s="814" t="str">
        <f>AL28</f>
        <v>Gebrauchsqualität</v>
      </c>
      <c r="L317" s="585"/>
      <c r="M317" s="585"/>
      <c r="N317" s="585"/>
      <c r="O317" s="585"/>
      <c r="P317" s="585"/>
      <c r="Q317" s="919">
        <f>IF(AT123="NB",0,AT123)</f>
        <v>0</v>
      </c>
      <c r="R317" s="919">
        <f>IF(AX123="NB",0,AX123)</f>
        <v>0</v>
      </c>
      <c r="S317" s="919">
        <f>IF(AY124="NB",0,AY124)</f>
        <v>0</v>
      </c>
      <c r="T317" s="919" t="s">
        <v>1639</v>
      </c>
      <c r="U317" s="919">
        <f>IF(AY125="NB",0,AY125)</f>
        <v>0</v>
      </c>
      <c r="V317" s="138"/>
      <c r="W317" s="138"/>
      <c r="X317" s="144"/>
      <c r="Y317" s="138"/>
      <c r="Z317" s="138"/>
      <c r="AA317" s="138"/>
      <c r="AB317" s="138"/>
      <c r="AC317" s="138"/>
      <c r="AD317" s="138"/>
      <c r="AE317" s="138"/>
      <c r="AF317" s="138"/>
      <c r="AG317" s="138"/>
      <c r="AH317" s="138"/>
      <c r="AI317" s="138"/>
      <c r="AJ317" s="312"/>
      <c r="AK317" s="312"/>
      <c r="AL317" s="312"/>
      <c r="AM317" s="312"/>
      <c r="AN317" s="312"/>
      <c r="AO317" s="352"/>
      <c r="AP317" s="352"/>
      <c r="AQ317" s="352"/>
      <c r="AR317" s="352"/>
      <c r="AS317" s="352"/>
      <c r="AT317" s="352"/>
      <c r="AU317" s="352"/>
      <c r="AV317" s="138"/>
      <c r="AW317" s="351"/>
      <c r="AX317" s="313"/>
      <c r="AY317" s="313"/>
      <c r="BB317" s="352"/>
      <c r="BC317" s="352"/>
      <c r="BD317" s="352"/>
      <c r="BE317" s="138"/>
      <c r="BF317" s="138"/>
      <c r="BG317" s="1462"/>
      <c r="BH317" s="714" t="str">
        <f>Text!$BH$224&amp;Text!$BH$239&amp;Text!$BH$245&amp;Text!$BH$249&amp;Text!$BH$258&amp;Text!$BH$267&amp;Text!$BH$271&amp;Text!$BH$275&amp;Text!$BH$281&amp;Text!$BH$286&amp;Text!$BH$293&amp;Text!$BH$299</f>
        <v/>
      </c>
      <c r="BI317" s="715" t="str">
        <f>Text!$BI$224&amp;Text!$BI$239&amp;Text!$BI$245&amp;Text!$BI$249&amp;Text!$BI$258&amp;Text!$BI$267&amp;Text!$BI$271&amp;Text!$BI$275&amp;Text!$BI$281&amp;Text!$BI$286&amp;Text!$BI$293&amp;Text!$BI$299</f>
        <v/>
      </c>
      <c r="BJ317" s="313"/>
    </row>
    <row r="318" spans="1:62" ht="15" customHeight="1">
      <c r="A318" s="138"/>
      <c r="B318" s="324"/>
      <c r="C318" s="284" t="str">
        <f>IF(Tool!$H$7="Français",G318,IF(Tool!$H$7="Italiano",I318,E318))</f>
        <v>Info</v>
      </c>
      <c r="D318" s="909"/>
      <c r="E318" s="1621" t="s">
        <v>537</v>
      </c>
      <c r="F318" s="1663"/>
      <c r="G318" s="1621" t="s">
        <v>537</v>
      </c>
      <c r="H318" s="909"/>
      <c r="I318" s="422" t="s">
        <v>1107</v>
      </c>
      <c r="J318" s="318"/>
      <c r="K318" s="1497" t="str">
        <f>AL30</f>
        <v>Wohlbefinden &amp; Gesundheit</v>
      </c>
      <c r="L318" s="585"/>
      <c r="M318" s="585"/>
      <c r="N318" s="585"/>
      <c r="O318" s="585"/>
      <c r="P318" s="585"/>
      <c r="Q318" s="919">
        <f>IF(AT137="NB",0,AT137)</f>
        <v>0</v>
      </c>
      <c r="R318" s="919">
        <f>IF(AX137="NB",0,AX137)</f>
        <v>0</v>
      </c>
      <c r="S318" s="919">
        <f>IF(AY138="NB",0,AY138)</f>
        <v>0</v>
      </c>
      <c r="T318" s="919">
        <f>IF(AY137="NB",0,AY137)</f>
        <v>0</v>
      </c>
      <c r="U318" s="919">
        <f>IF(AY139="NB",0,AY139)</f>
        <v>0</v>
      </c>
      <c r="V318" s="144"/>
      <c r="W318" s="138"/>
      <c r="X318" s="138"/>
      <c r="Y318" s="138"/>
      <c r="Z318" s="138"/>
      <c r="AA318" s="138"/>
      <c r="AB318" s="138"/>
      <c r="AC318" s="144"/>
      <c r="AD318" s="138"/>
      <c r="AE318" s="138"/>
      <c r="AF318" s="138"/>
      <c r="AG318" s="138"/>
      <c r="AH318" s="138"/>
      <c r="AI318" s="138"/>
      <c r="AJ318" s="313"/>
      <c r="AK318" s="313"/>
      <c r="AL318" s="313"/>
      <c r="AM318" s="313"/>
      <c r="AN318" s="313"/>
      <c r="AO318" s="354"/>
      <c r="AP318" s="354"/>
      <c r="AQ318" s="354"/>
      <c r="AR318" s="354"/>
      <c r="AS318" s="354"/>
      <c r="AT318" s="354"/>
      <c r="AU318" s="354"/>
      <c r="AV318" s="138"/>
      <c r="AW318" s="138"/>
      <c r="AX318" s="313"/>
      <c r="AY318" s="313"/>
      <c r="BB318" s="354"/>
      <c r="BC318" s="354"/>
      <c r="BD318" s="354"/>
      <c r="BE318" s="138"/>
      <c r="BF318" s="138"/>
      <c r="BG318" s="138"/>
      <c r="BH318" s="138"/>
      <c r="BI318" s="138"/>
      <c r="BJ318" s="313"/>
    </row>
    <row r="319" spans="1:62" ht="15" customHeight="1">
      <c r="A319" s="138"/>
      <c r="B319" s="324"/>
      <c r="C319" s="284" t="str">
        <f>IF(Tool!$H$7="Français",G319,IF(Tool!$H$7="Italiano",I319,E319))</f>
        <v>Zum Ergebnis</v>
      </c>
      <c r="D319" s="909"/>
      <c r="E319" s="1621" t="s">
        <v>134</v>
      </c>
      <c r="F319" s="1663"/>
      <c r="G319" s="1621" t="s">
        <v>135</v>
      </c>
      <c r="H319" s="909"/>
      <c r="I319" s="422" t="s">
        <v>1108</v>
      </c>
      <c r="J319" s="318"/>
      <c r="K319" s="437"/>
      <c r="L319" s="438"/>
      <c r="M319" s="13"/>
      <c r="N319" s="13"/>
      <c r="O319" s="13"/>
      <c r="P319" s="13"/>
      <c r="Q319" s="783"/>
      <c r="R319" s="783"/>
      <c r="S319" s="783"/>
      <c r="T319" s="783"/>
      <c r="U319" s="783"/>
      <c r="V319" s="138"/>
      <c r="W319" s="138"/>
      <c r="X319" s="138"/>
      <c r="Y319" s="138"/>
      <c r="Z319" s="138"/>
      <c r="AA319" s="138"/>
      <c r="AB319" s="138"/>
      <c r="AC319" s="138"/>
      <c r="AD319" s="138"/>
      <c r="AE319" s="138"/>
      <c r="AF319" s="138"/>
      <c r="AG319" s="138"/>
      <c r="AH319" s="138"/>
      <c r="AI319" s="138"/>
      <c r="AJ319" s="313"/>
      <c r="AK319" s="313"/>
      <c r="AL319" s="313"/>
      <c r="AM319" s="313"/>
      <c r="AN319" s="313"/>
      <c r="AO319" s="354"/>
      <c r="AP319" s="354"/>
      <c r="AQ319" s="354"/>
      <c r="AR319" s="354"/>
      <c r="AS319" s="354"/>
      <c r="AT319" s="354"/>
      <c r="AU319" s="354"/>
      <c r="AV319" s="138"/>
      <c r="AW319" s="138"/>
      <c r="AX319" s="313"/>
      <c r="AY319" s="313"/>
      <c r="BB319" s="354"/>
      <c r="BC319" s="354"/>
      <c r="BD319" s="354"/>
      <c r="BE319" s="138"/>
      <c r="BF319" s="138"/>
      <c r="BG319" s="138"/>
      <c r="BH319" s="138"/>
      <c r="BI319" s="138"/>
      <c r="BJ319" s="313"/>
    </row>
    <row r="320" spans="1:62" ht="15" customHeight="1">
      <c r="A320" s="138"/>
      <c r="B320" s="324"/>
      <c r="C320" s="284" t="str">
        <f>IF(Tool!$H$7="Français",G320,IF(Tool!$H$7="Italiano",I320,E320))</f>
        <v>Menu ein- oder ausblenden</v>
      </c>
      <c r="D320" s="909"/>
      <c r="E320" s="1621" t="s">
        <v>88</v>
      </c>
      <c r="F320" s="1663"/>
      <c r="G320" s="1621" t="s">
        <v>117</v>
      </c>
      <c r="H320" s="909"/>
      <c r="I320" s="422" t="s">
        <v>1109</v>
      </c>
      <c r="J320" s="318"/>
      <c r="K320" s="551" t="str">
        <f>AK38</f>
        <v>Wirtschaft</v>
      </c>
      <c r="L320" s="588"/>
      <c r="M320" s="588"/>
      <c r="N320" s="588"/>
      <c r="O320" s="589"/>
      <c r="P320" s="588"/>
      <c r="Q320" s="920">
        <f>IF(AU183="NB",0,AU183)</f>
        <v>0</v>
      </c>
      <c r="R320" s="920">
        <f>IF(AY183="NB",0,AY183)</f>
        <v>0</v>
      </c>
      <c r="S320" s="920"/>
      <c r="T320" s="920"/>
      <c r="U320" s="920">
        <f>IF(AY187="NB",0,AY187)</f>
        <v>0</v>
      </c>
      <c r="V320" s="138"/>
      <c r="W320" s="138"/>
      <c r="X320" s="138"/>
      <c r="Y320" s="138"/>
      <c r="Z320" s="138"/>
      <c r="AA320" s="138"/>
      <c r="AB320" s="138"/>
      <c r="AC320" s="138"/>
      <c r="AD320" s="138"/>
      <c r="AE320" s="138"/>
      <c r="AF320" s="138"/>
      <c r="AG320" s="138"/>
      <c r="AH320" s="138"/>
      <c r="AI320" s="138"/>
      <c r="AJ320" s="313"/>
      <c r="AK320" s="313"/>
      <c r="AL320" s="313"/>
      <c r="AM320" s="313"/>
      <c r="AN320" s="313"/>
      <c r="AO320" s="354"/>
      <c r="AP320" s="354"/>
      <c r="AQ320" s="354"/>
      <c r="AR320" s="354"/>
      <c r="AS320" s="354"/>
      <c r="AT320" s="354"/>
      <c r="AU320" s="354"/>
      <c r="AV320" s="138"/>
      <c r="AW320" s="138"/>
      <c r="AX320" s="312"/>
      <c r="AY320" s="313"/>
      <c r="BB320" s="354"/>
      <c r="BC320" s="354"/>
      <c r="BD320" s="354"/>
      <c r="BE320" s="138"/>
      <c r="BF320" s="138"/>
      <c r="BG320" s="138"/>
      <c r="BH320" s="138"/>
      <c r="BI320" s="138"/>
      <c r="BJ320" s="313"/>
    </row>
    <row r="321" spans="1:62" ht="15" customHeight="1">
      <c r="A321" s="138"/>
      <c r="B321" s="324"/>
      <c r="C321" s="284" t="str">
        <f>IF(Tool!$H$7="Français",G321,IF(Tool!$H$7="Italiano",I321,E321))</f>
        <v>Liste ein- oder ausblenden</v>
      </c>
      <c r="D321" s="909"/>
      <c r="E321" s="1621" t="s">
        <v>459</v>
      </c>
      <c r="F321" s="1663"/>
      <c r="G321" s="1621" t="s">
        <v>460</v>
      </c>
      <c r="H321" s="909"/>
      <c r="I321" s="422" t="s">
        <v>1110</v>
      </c>
      <c r="J321" s="318"/>
      <c r="K321" s="551" t="str">
        <f>AL38</f>
        <v>Lebenszyklus</v>
      </c>
      <c r="L321" s="588"/>
      <c r="M321" s="588"/>
      <c r="N321" s="588"/>
      <c r="O321" s="588"/>
      <c r="P321" s="588"/>
      <c r="Q321" s="920">
        <f>IF(AT183="NB",0,AT183)</f>
        <v>0</v>
      </c>
      <c r="R321" s="920">
        <f>IF(AX183="NB",0,AX183)</f>
        <v>0</v>
      </c>
      <c r="S321" s="920">
        <f>IF(AY184="NB",0,AY184)</f>
        <v>0</v>
      </c>
      <c r="T321" s="920">
        <f>IF(AY185="NB",0,AY185)</f>
        <v>0</v>
      </c>
      <c r="U321" s="920">
        <f>IF(AY186="NB",0,AY186)</f>
        <v>0</v>
      </c>
      <c r="V321" s="138"/>
      <c r="W321" s="138"/>
      <c r="X321" s="138"/>
      <c r="Y321" s="138"/>
      <c r="Z321" s="138"/>
      <c r="AA321" s="138"/>
      <c r="AB321" s="138"/>
      <c r="AC321" s="138"/>
      <c r="AD321" s="138"/>
      <c r="AE321" s="138"/>
      <c r="AF321" s="138"/>
      <c r="AG321" s="138"/>
      <c r="AH321" s="138"/>
      <c r="AI321" s="138"/>
      <c r="AJ321" s="313"/>
      <c r="AK321" s="313"/>
      <c r="AL321" s="313"/>
      <c r="AM321" s="313"/>
      <c r="AN321" s="313"/>
      <c r="AO321" s="354"/>
      <c r="AP321" s="354"/>
      <c r="AQ321" s="354"/>
      <c r="AR321" s="354"/>
      <c r="AS321" s="354"/>
      <c r="AT321" s="354"/>
      <c r="AU321" s="354"/>
      <c r="AV321" s="138"/>
      <c r="AW321" s="138"/>
      <c r="AX321" s="313"/>
      <c r="AY321" s="313"/>
      <c r="BB321" s="354"/>
      <c r="BC321" s="354"/>
      <c r="BD321" s="354"/>
      <c r="BE321" s="138"/>
      <c r="BF321" s="138"/>
      <c r="BG321" s="138"/>
      <c r="BH321" s="138"/>
      <c r="BI321" s="138"/>
      <c r="BJ321" s="313"/>
    </row>
    <row r="322" spans="1:62" ht="15" customHeight="1">
      <c r="A322" s="138"/>
      <c r="B322" s="449"/>
      <c r="C322" s="284" t="str">
        <f>IF(Tool!$H$7="Français",G322,IF(Tool!$H$7="Italiano",I322,E322))</f>
        <v>Der Pre-Check SNBS 2023.1 Hochbau funktioniert mit Makros. Ist es für Sie nicht möglich, Makros zu aktivieren, versuchen Sie bitte die Datei in einem neuen Ordner zu speichern und neu zu starten.</v>
      </c>
      <c r="D322" s="449"/>
      <c r="E322" s="1655" t="s">
        <v>584</v>
      </c>
      <c r="F322" s="1664"/>
      <c r="G322" s="1655" t="s">
        <v>1071</v>
      </c>
      <c r="H322" s="449"/>
      <c r="I322" s="761" t="s">
        <v>1863</v>
      </c>
      <c r="J322" s="318"/>
      <c r="K322" s="551" t="str">
        <f>AL41</f>
        <v>Nutzbarkeit</v>
      </c>
      <c r="L322" s="588"/>
      <c r="M322" s="588"/>
      <c r="N322" s="588"/>
      <c r="O322" s="588"/>
      <c r="P322" s="588"/>
      <c r="Q322" s="920">
        <f>IF(AT201="NB",0,AT201)</f>
        <v>0</v>
      </c>
      <c r="R322" s="920">
        <f>IF(AX201="NB",0,AX201)</f>
        <v>0</v>
      </c>
      <c r="S322" s="920">
        <f>IF(AY202="NB",0,AY203)</f>
        <v>0</v>
      </c>
      <c r="T322" s="920">
        <f>IF(AY203="NB",0,AY203)</f>
        <v>0</v>
      </c>
      <c r="U322" s="920">
        <f>IF(AY204="NB",0,AY204)</f>
        <v>0</v>
      </c>
      <c r="V322" s="138"/>
      <c r="W322" s="138"/>
      <c r="X322" s="138"/>
      <c r="Y322" s="138"/>
      <c r="Z322" s="138"/>
      <c r="AA322" s="138"/>
      <c r="AB322" s="138"/>
      <c r="AC322" s="138"/>
      <c r="AD322" s="138"/>
      <c r="AE322" s="138"/>
      <c r="AF322" s="138"/>
      <c r="AG322" s="138"/>
      <c r="AH322" s="138"/>
      <c r="AI322" s="138"/>
      <c r="AJ322" s="313"/>
      <c r="AK322" s="313"/>
      <c r="AL322" s="313"/>
      <c r="AM322" s="313"/>
      <c r="AN322" s="313"/>
      <c r="AO322" s="354"/>
      <c r="AP322" s="354"/>
      <c r="AQ322" s="354"/>
      <c r="AR322" s="354"/>
      <c r="AS322" s="354"/>
      <c r="AT322" s="354"/>
      <c r="AU322" s="354"/>
      <c r="AV322" s="138"/>
      <c r="AW322" s="138"/>
      <c r="AX322" s="313"/>
      <c r="AY322" s="313"/>
      <c r="BB322" s="354"/>
      <c r="BC322" s="354"/>
      <c r="BD322" s="354"/>
      <c r="BE322" s="138"/>
      <c r="BF322" s="138"/>
      <c r="BG322" s="138"/>
      <c r="BH322" s="138"/>
      <c r="BI322" s="138"/>
      <c r="BJ322" s="313"/>
    </row>
    <row r="323" spans="1:62" ht="15" customHeight="1">
      <c r="A323" s="138"/>
      <c r="B323" s="449"/>
      <c r="C323" s="284" t="str">
        <f>IF(Tool!$H$7="Français",G323,IF(Tool!$H$7="Italiano",I323,E323))</f>
        <v>Für eine "SNBS Pre-Check 2023.1 Hochbau" Bewertung eines Bauvorhabens ohne zusätzliches Modul können Sie direkt zur Einleitung fortsetzen.</v>
      </c>
      <c r="D323" s="449"/>
      <c r="E323" s="1665" t="s">
        <v>1069</v>
      </c>
      <c r="F323" s="1664"/>
      <c r="G323" s="1655" t="s">
        <v>1070</v>
      </c>
      <c r="H323" s="449"/>
      <c r="I323" s="1625" t="s">
        <v>1864</v>
      </c>
      <c r="J323" s="318"/>
      <c r="K323" s="551" t="str">
        <f>AL44</f>
        <v>Regionalökonomie</v>
      </c>
      <c r="L323" s="588"/>
      <c r="M323" s="588"/>
      <c r="N323" s="588"/>
      <c r="O323" s="588"/>
      <c r="P323" s="588"/>
      <c r="Q323" s="920">
        <f>IF(AT222="NB",0,AT222)</f>
        <v>0</v>
      </c>
      <c r="R323" s="920"/>
      <c r="S323" s="920"/>
      <c r="T323" s="920"/>
      <c r="U323" s="920"/>
      <c r="V323" s="138"/>
      <c r="W323" s="138"/>
      <c r="X323" s="138"/>
      <c r="Y323" s="138"/>
      <c r="Z323" s="138"/>
      <c r="AA323" s="138"/>
      <c r="AB323" s="138"/>
      <c r="AC323" s="138"/>
      <c r="AD323" s="138"/>
      <c r="AE323" s="138"/>
      <c r="AF323" s="138"/>
      <c r="AG323" s="138"/>
      <c r="AH323" s="138"/>
      <c r="AI323" s="138"/>
      <c r="AJ323" s="313"/>
      <c r="AK323" s="313"/>
      <c r="AL323" s="313"/>
      <c r="AM323" s="313"/>
      <c r="AN323" s="313"/>
      <c r="AO323" s="354"/>
      <c r="AP323" s="354"/>
      <c r="AQ323" s="354"/>
      <c r="AR323" s="354"/>
      <c r="AS323" s="354"/>
      <c r="AT323" s="354"/>
      <c r="AU323" s="354"/>
      <c r="AV323" s="138"/>
      <c r="AW323" s="138"/>
      <c r="AX323" s="313"/>
      <c r="AY323" s="313"/>
      <c r="BB323" s="354"/>
      <c r="BC323" s="354"/>
      <c r="BD323" s="354"/>
      <c r="BE323" s="138"/>
      <c r="BF323" s="138"/>
      <c r="BG323" s="138"/>
      <c r="BH323" s="138"/>
      <c r="BI323" s="138"/>
      <c r="BJ323" s="313"/>
    </row>
    <row r="324" spans="1:62" ht="15" customHeight="1">
      <c r="A324" s="138"/>
      <c r="B324" s="449"/>
      <c r="C324" s="284" t="str">
        <f>IF(Tool!$H$7="Français",G324,IF(Tool!$H$7="Italiano",I324,E324))</f>
        <v>Beim ''Klima-Check SNBS 2023.1 Hochbau'' handelt es sich um ein fakultativ anwendbares Zusatzmodul zum ''Pre-Check SNBS 2023.1 Hochbau''. Es ermittelt die Klimawandelgerechtigkeit eines Bauvorhabens. Das heisst, es ermittelt einerseits, inwiefern das untersuchte Gebäude auf das Klima der Zukunft vorbereitet ist, und andererseits, ob es einen Beitrag zur Minderung des Klimawandels leistet. Die Fragenbeantwortung zum ''Klima-Check'' stützt sich auf die SNBS-Kriterienstruktur ab und erfolgt demnach parallel zur ''Pre-Check''-Abfrage. Es ist jedoch durchaus möglich, nur eines der beiden Module – ''Pre-Check'' oder ''Klima-Check'' – im vorliegenden Tool anzuwenden. Eine detaillierte Erklärung von den beiden Modulen ist im Register ''Intro'' verfügbar. Es wird jederzeit möglich, ein anderes Modul zu wählen.</v>
      </c>
      <c r="D324" s="1520"/>
      <c r="E324" s="1655" t="s">
        <v>1111</v>
      </c>
      <c r="F324" s="1666"/>
      <c r="G324" s="1667" t="s">
        <v>2006</v>
      </c>
      <c r="H324" s="1521"/>
      <c r="I324" s="761" t="s">
        <v>1865</v>
      </c>
      <c r="J324" s="315"/>
      <c r="K324" s="410"/>
      <c r="L324" s="438"/>
      <c r="M324" s="13"/>
      <c r="N324" s="13"/>
      <c r="O324" s="13"/>
      <c r="P324" s="13"/>
      <c r="Q324" s="783"/>
      <c r="R324" s="783"/>
      <c r="S324" s="783"/>
      <c r="T324" s="783"/>
      <c r="U324" s="783"/>
      <c r="V324" s="138"/>
      <c r="W324" s="138"/>
      <c r="X324" s="138"/>
      <c r="Y324" s="138"/>
      <c r="Z324" s="138"/>
      <c r="AA324" s="138"/>
      <c r="AB324" s="138"/>
      <c r="AC324" s="138"/>
      <c r="AD324" s="138"/>
      <c r="AE324" s="138"/>
      <c r="AF324" s="138"/>
      <c r="AG324" s="138"/>
      <c r="AH324" s="138"/>
      <c r="AI324" s="138"/>
      <c r="AJ324" s="313"/>
      <c r="AK324" s="313"/>
      <c r="AL324" s="313"/>
      <c r="AM324" s="313"/>
      <c r="AN324" s="313"/>
      <c r="AO324" s="354"/>
      <c r="AP324" s="354"/>
      <c r="AQ324" s="354"/>
      <c r="AR324" s="354"/>
      <c r="AS324" s="354"/>
      <c r="AT324" s="354"/>
      <c r="AU324" s="354"/>
      <c r="AV324" s="138"/>
      <c r="AW324" s="138"/>
      <c r="AX324" s="313"/>
      <c r="AY324" s="313"/>
      <c r="BB324" s="354"/>
      <c r="BC324" s="354"/>
      <c r="BD324" s="354"/>
      <c r="BE324" s="138"/>
      <c r="BF324" s="138"/>
      <c r="BG324" s="138"/>
      <c r="BH324" s="138"/>
      <c r="BI324" s="138"/>
      <c r="BJ324" s="313"/>
    </row>
    <row r="325" spans="1:62" ht="15" customHeight="1">
      <c r="A325" s="138"/>
      <c r="B325" s="1610"/>
      <c r="C325" s="1519" t="str">
        <f>IF(Tool!$H$7="Français",G325,IF(Tool!$H$7="Italiano",I325,E325))</f>
        <v>Einleitung wiederholen</v>
      </c>
      <c r="D325" s="1518"/>
      <c r="E325" s="1665" t="s">
        <v>1640</v>
      </c>
      <c r="F325" s="1666"/>
      <c r="G325" s="1668" t="s">
        <v>1642</v>
      </c>
      <c r="H325" s="1521"/>
      <c r="I325" s="1625" t="s">
        <v>1641</v>
      </c>
      <c r="J325" s="361"/>
      <c r="K325" s="815" t="str">
        <f>AK46</f>
        <v>Umwelt</v>
      </c>
      <c r="L325" s="590"/>
      <c r="M325" s="591"/>
      <c r="N325" s="591"/>
      <c r="O325" s="592"/>
      <c r="P325" s="592"/>
      <c r="Q325" s="921">
        <f>IF(AU224="NB",0,AU224)</f>
        <v>0</v>
      </c>
      <c r="R325" s="921">
        <f>IF(AY224="NB",0,AY224)</f>
        <v>0</v>
      </c>
      <c r="S325" s="921"/>
      <c r="T325" s="921"/>
      <c r="U325" s="921">
        <f>IF(AY231="NB",0,AY231)</f>
        <v>0</v>
      </c>
      <c r="V325" s="138"/>
      <c r="W325" s="138"/>
      <c r="X325" s="138"/>
      <c r="Y325" s="138"/>
      <c r="Z325" s="138"/>
      <c r="AA325" s="138"/>
      <c r="AB325" s="138"/>
      <c r="AC325" s="138"/>
      <c r="AD325" s="138"/>
      <c r="AE325" s="138"/>
      <c r="AF325" s="138"/>
      <c r="AG325" s="138"/>
      <c r="AH325" s="138"/>
      <c r="AI325" s="138"/>
      <c r="AJ325" s="313"/>
      <c r="AK325" s="313"/>
      <c r="AL325" s="313"/>
      <c r="AM325" s="313"/>
      <c r="AN325" s="313"/>
      <c r="AO325" s="354"/>
      <c r="AP325" s="354"/>
      <c r="AQ325" s="354"/>
      <c r="AR325" s="354"/>
      <c r="AS325" s="354"/>
      <c r="AT325" s="354"/>
      <c r="AU325" s="354"/>
      <c r="AV325" s="138"/>
      <c r="AW325" s="138"/>
      <c r="AX325" s="313"/>
      <c r="AY325" s="313"/>
      <c r="BB325" s="354"/>
      <c r="BC325" s="354"/>
      <c r="BD325" s="354"/>
      <c r="BE325" s="138"/>
      <c r="BF325" s="138"/>
      <c r="BG325" s="138"/>
      <c r="BH325" s="138"/>
      <c r="BI325" s="138"/>
      <c r="BJ325" s="313"/>
    </row>
    <row r="326" spans="1:62" ht="15" customHeight="1">
      <c r="A326" s="138"/>
      <c r="B326" s="328"/>
      <c r="C326" s="869" t="str">
        <f>IF(Tool!$H$7="Français",G326,IF(Tool!$H$7="Italiano",I326,E326))</f>
        <v xml:space="preserve">   Einleitung   </v>
      </c>
      <c r="D326" s="339"/>
      <c r="E326" s="1642" t="s">
        <v>71</v>
      </c>
      <c r="F326" s="1643"/>
      <c r="G326" s="1642" t="s">
        <v>70</v>
      </c>
      <c r="H326" s="339"/>
      <c r="I326" s="329" t="s">
        <v>1112</v>
      </c>
      <c r="J326" s="361"/>
      <c r="K326" s="815" t="str">
        <f>AL46</f>
        <v>Klimaschutz</v>
      </c>
      <c r="L326" s="590"/>
      <c r="M326" s="591"/>
      <c r="N326" s="591"/>
      <c r="O326" s="592"/>
      <c r="P326" s="592"/>
      <c r="Q326" s="921">
        <f>IF(AT224="NB",0,AT224)</f>
        <v>0</v>
      </c>
      <c r="R326" s="921">
        <f>IF(AX224="NB",0,AX224)</f>
        <v>0</v>
      </c>
      <c r="S326" s="921" t="s">
        <v>1639</v>
      </c>
      <c r="T326" s="921">
        <f>IF(AY227="NB",0,AY227)</f>
        <v>0</v>
      </c>
      <c r="U326" s="921">
        <f>IF(AY230="NB",0,AY230)</f>
        <v>0</v>
      </c>
      <c r="V326" s="138"/>
      <c r="W326" s="138"/>
      <c r="X326" s="138"/>
      <c r="Y326" s="138"/>
      <c r="Z326" s="138"/>
      <c r="AA326" s="138"/>
      <c r="AB326" s="138"/>
      <c r="AC326" s="138"/>
      <c r="AD326" s="138"/>
      <c r="AE326" s="138"/>
      <c r="AF326" s="138"/>
      <c r="AG326" s="138"/>
      <c r="AH326" s="138"/>
      <c r="AI326" s="138"/>
      <c r="AJ326" s="313"/>
      <c r="AK326" s="313"/>
      <c r="AL326" s="313"/>
      <c r="AM326" s="313"/>
      <c r="AN326" s="313"/>
      <c r="AO326" s="354"/>
      <c r="AP326" s="354"/>
      <c r="AQ326" s="354"/>
      <c r="AR326" s="354"/>
      <c r="AS326" s="354"/>
      <c r="AT326" s="354"/>
      <c r="AU326" s="354"/>
      <c r="AV326" s="138"/>
      <c r="AW326" s="138"/>
      <c r="AX326" s="313"/>
      <c r="AY326" s="313"/>
      <c r="BB326" s="313"/>
      <c r="BC326" s="313"/>
      <c r="BD326" s="355"/>
      <c r="BE326" s="138"/>
      <c r="BF326" s="138"/>
      <c r="BG326" s="138"/>
      <c r="BH326" s="138"/>
      <c r="BI326" s="138"/>
    </row>
    <row r="327" spans="1:62" ht="15" customHeight="1">
      <c r="A327" s="311"/>
      <c r="B327" s="417"/>
      <c r="C327" s="415" t="str">
        <f>IF(Tool!$H$7="Français",G327,IF(Tool!$H$7="Italiano",I327,E327))</f>
        <v>Kriterien</v>
      </c>
      <c r="D327" s="910"/>
      <c r="E327" s="1644" t="s">
        <v>32</v>
      </c>
      <c r="F327" s="1645"/>
      <c r="G327" s="1644" t="s">
        <v>1072</v>
      </c>
      <c r="H327" s="910"/>
      <c r="I327" s="341" t="s">
        <v>1113</v>
      </c>
      <c r="J327" s="361"/>
      <c r="K327" s="815" t="str">
        <f>AL49</f>
        <v>Energie</v>
      </c>
      <c r="L327" s="590"/>
      <c r="M327" s="591"/>
      <c r="N327" s="591"/>
      <c r="O327" s="591"/>
      <c r="P327" s="591"/>
      <c r="Q327" s="921">
        <f>IF(AT225="NB",0,AT225)</f>
        <v>0</v>
      </c>
      <c r="R327" s="921">
        <f>IF(AX225="NB",0,AX225)</f>
        <v>0</v>
      </c>
      <c r="S327" s="921">
        <f>IF(AY228="NB",0,AY228)</f>
        <v>0</v>
      </c>
      <c r="T327" s="921" t="s">
        <v>1639</v>
      </c>
      <c r="U327" s="921"/>
      <c r="V327" s="138"/>
      <c r="W327" s="138"/>
      <c r="X327" s="138"/>
      <c r="Y327" s="138"/>
      <c r="Z327" s="138"/>
      <c r="AA327" s="138"/>
      <c r="AB327" s="138"/>
      <c r="AC327" s="138"/>
      <c r="AD327" s="138"/>
      <c r="AE327" s="138"/>
      <c r="AF327" s="138"/>
      <c r="AG327" s="138"/>
      <c r="AH327" s="138"/>
      <c r="AI327" s="138"/>
      <c r="AJ327" s="313"/>
      <c r="AK327" s="313"/>
      <c r="AL327" s="313"/>
      <c r="AM327" s="313"/>
      <c r="AN327" s="313"/>
      <c r="AO327" s="354"/>
      <c r="AP327" s="354"/>
      <c r="AQ327" s="354"/>
      <c r="AR327" s="354"/>
      <c r="AS327" s="354"/>
      <c r="AT327" s="354"/>
      <c r="AU327" s="354"/>
      <c r="AV327" s="138"/>
      <c r="AW327" s="138"/>
      <c r="AX327" s="313"/>
      <c r="AY327" s="313"/>
      <c r="BB327" s="313"/>
      <c r="BC327" s="313"/>
      <c r="BD327" s="355"/>
      <c r="BE327" s="138"/>
      <c r="BF327" s="138"/>
      <c r="BG327" s="138"/>
      <c r="BH327" s="138"/>
      <c r="BI327" s="138"/>
    </row>
    <row r="328" spans="1:62" ht="15" customHeight="1">
      <c r="A328" s="138"/>
      <c r="B328" s="418"/>
      <c r="C328" s="284" t="str">
        <f>IF(Tool!$H$7="Français",G328,IF(Tool!$H$7="Italiano",I328,E328))</f>
        <v>Fragen</v>
      </c>
      <c r="D328" s="911"/>
      <c r="E328" s="1618" t="s">
        <v>136</v>
      </c>
      <c r="F328" s="1646"/>
      <c r="G328" s="1618" t="s">
        <v>123</v>
      </c>
      <c r="H328" s="911"/>
      <c r="I328" s="319" t="s">
        <v>1114</v>
      </c>
      <c r="J328" s="361"/>
      <c r="K328" s="815" t="str">
        <f>AL51</f>
        <v>Ressourcenschonung &amp; Umweltschutz</v>
      </c>
      <c r="L328" s="590"/>
      <c r="M328" s="591"/>
      <c r="N328" s="591"/>
      <c r="O328" s="591"/>
      <c r="P328" s="591"/>
      <c r="Q328" s="921">
        <f>IF(AT253="NB",0,AT253)</f>
        <v>0</v>
      </c>
      <c r="R328" s="921">
        <f>IF(AX253="NB",0,AX253)</f>
        <v>0</v>
      </c>
      <c r="S328" s="921">
        <f>IF(AY254="NB",0,AY254)</f>
        <v>0</v>
      </c>
      <c r="T328" s="921">
        <f>IF(AY255="NB",0,AY255)</f>
        <v>0</v>
      </c>
      <c r="U328" s="921">
        <f>IF(AY256="NB",0,AY256)</f>
        <v>0</v>
      </c>
      <c r="V328" s="138"/>
      <c r="W328" s="138"/>
      <c r="X328" s="138"/>
      <c r="Y328" s="138"/>
      <c r="Z328" s="138"/>
      <c r="AA328" s="138"/>
      <c r="AB328" s="138"/>
      <c r="AC328" s="138"/>
      <c r="AD328" s="138"/>
      <c r="AE328" s="138"/>
      <c r="AF328" s="138"/>
      <c r="AG328" s="138"/>
      <c r="AH328" s="138"/>
      <c r="AI328" s="138"/>
      <c r="AJ328" s="313"/>
      <c r="AK328" s="313"/>
      <c r="AL328" s="313"/>
      <c r="AM328" s="313"/>
      <c r="AN328" s="313"/>
      <c r="AO328" s="354"/>
      <c r="AP328" s="354"/>
      <c r="AQ328" s="354"/>
      <c r="AR328" s="354"/>
      <c r="AS328" s="354"/>
      <c r="AT328" s="354"/>
      <c r="AU328" s="354"/>
      <c r="AV328" s="138"/>
      <c r="AW328" s="138"/>
      <c r="AX328" s="313"/>
      <c r="AY328" s="313"/>
      <c r="BB328" s="313"/>
      <c r="BC328" s="313"/>
      <c r="BD328" s="355"/>
      <c r="BE328" s="138"/>
      <c r="BF328" s="138"/>
      <c r="BG328" s="138"/>
      <c r="BH328" s="138"/>
      <c r="BI328" s="138"/>
    </row>
    <row r="329" spans="1:62" ht="15" customHeight="1">
      <c r="A329" s="138"/>
      <c r="B329" s="418"/>
      <c r="C329" s="284" t="str">
        <f>IF(Tool!$H$7="Français",G329,IF(Tool!$H$7="Italiano",I329,E329))</f>
        <v>Bewertung</v>
      </c>
      <c r="D329" s="911"/>
      <c r="E329" s="1618" t="s">
        <v>53</v>
      </c>
      <c r="F329" s="1646"/>
      <c r="G329" s="1618" t="s">
        <v>422</v>
      </c>
      <c r="H329" s="911"/>
      <c r="I329" s="319" t="s">
        <v>1115</v>
      </c>
      <c r="J329" s="361"/>
      <c r="K329" s="815" t="str">
        <f>AL57</f>
        <v>Natur &amp; Landschaft</v>
      </c>
      <c r="L329" s="590"/>
      <c r="M329" s="591"/>
      <c r="N329" s="591"/>
      <c r="O329" s="591"/>
      <c r="P329" s="591"/>
      <c r="Q329" s="921">
        <f>IF(AT286="NB",0,AT286)</f>
        <v>0</v>
      </c>
      <c r="R329" s="921">
        <f>IF(AX286="NB",0,AX286)</f>
        <v>0</v>
      </c>
      <c r="S329" s="921">
        <f>IF(AY287="NB",0,AY287)</f>
        <v>0</v>
      </c>
      <c r="T329" s="921" t="s">
        <v>1639</v>
      </c>
      <c r="U329" s="921">
        <f>IF(AY288="NB",0,AY288)</f>
        <v>0</v>
      </c>
      <c r="V329" s="138"/>
      <c r="W329" s="138"/>
      <c r="X329" s="138"/>
      <c r="Y329" s="138"/>
      <c r="Z329" s="138"/>
      <c r="AA329" s="138"/>
      <c r="AB329" s="138"/>
      <c r="AC329" s="138"/>
      <c r="AD329" s="138"/>
      <c r="AE329" s="138"/>
      <c r="AF329" s="138"/>
      <c r="AG329" s="138"/>
      <c r="AH329" s="138"/>
      <c r="AI329" s="138"/>
      <c r="AJ329" s="312"/>
      <c r="AK329" s="312"/>
      <c r="AL329" s="312"/>
      <c r="AM329" s="312"/>
      <c r="AN329" s="312"/>
      <c r="AO329" s="352"/>
      <c r="AP329" s="352"/>
      <c r="AQ329" s="352"/>
      <c r="AR329" s="352"/>
      <c r="AS329" s="352"/>
      <c r="AT329" s="352"/>
      <c r="AU329" s="352"/>
      <c r="AV329" s="353"/>
      <c r="AW329" s="138"/>
      <c r="AX329" s="313"/>
      <c r="AY329" s="313"/>
      <c r="BB329" s="313"/>
      <c r="BC329" s="313"/>
      <c r="BD329" s="313"/>
      <c r="BE329" s="138"/>
      <c r="BF329" s="138"/>
      <c r="BG329" s="138"/>
      <c r="BH329" s="138"/>
      <c r="BI329" s="138"/>
    </row>
    <row r="330" spans="1:62" ht="15" customHeight="1">
      <c r="A330" s="138"/>
      <c r="B330" s="418"/>
      <c r="C330" s="284" t="str">
        <f>IF(Tool!$H$7="Français",G330,IF(Tool!$H$7="Italiano",I330,E330))</f>
        <v>Zurück</v>
      </c>
      <c r="D330" s="911"/>
      <c r="E330" s="1618" t="s">
        <v>74</v>
      </c>
      <c r="F330" s="1646"/>
      <c r="G330" s="1618" t="s">
        <v>76</v>
      </c>
      <c r="H330" s="911"/>
      <c r="I330" s="319" t="s">
        <v>1866</v>
      </c>
      <c r="J330" s="362"/>
      <c r="K330" s="410"/>
      <c r="L330" s="1"/>
      <c r="M330" s="1"/>
      <c r="N330" s="1"/>
      <c r="O330" s="1"/>
      <c r="P330" s="1"/>
      <c r="Q330" s="38"/>
      <c r="R330" s="38"/>
      <c r="S330" s="38"/>
      <c r="T330" s="38"/>
      <c r="U330" s="38"/>
      <c r="V330" s="138"/>
      <c r="W330" s="138"/>
      <c r="X330" s="138"/>
      <c r="Y330" s="138"/>
      <c r="Z330" s="138"/>
      <c r="AA330" s="138"/>
      <c r="AB330" s="138"/>
      <c r="AC330" s="138"/>
      <c r="AD330" s="138"/>
      <c r="AE330" s="138"/>
      <c r="AF330" s="138"/>
      <c r="AG330" s="138"/>
      <c r="AH330" s="138"/>
      <c r="AI330" s="138"/>
      <c r="AJ330" s="313"/>
      <c r="AK330" s="313"/>
      <c r="AL330" s="313"/>
      <c r="AM330" s="313"/>
      <c r="AN330" s="313"/>
      <c r="AO330" s="354"/>
      <c r="AP330" s="354"/>
      <c r="AQ330" s="354"/>
      <c r="AR330" s="354"/>
      <c r="AS330" s="354"/>
      <c r="AT330" s="354"/>
      <c r="AU330" s="354"/>
      <c r="AV330" s="355"/>
      <c r="AW330" s="353"/>
      <c r="AX330" s="313"/>
      <c r="AY330" s="313"/>
      <c r="BB330" s="313"/>
      <c r="BC330" s="313"/>
      <c r="BD330" s="313"/>
      <c r="BE330" s="138"/>
      <c r="BF330" s="138"/>
      <c r="BG330" s="138"/>
      <c r="BH330" s="138"/>
      <c r="BI330" s="138"/>
    </row>
    <row r="331" spans="1:62" ht="15" customHeight="1">
      <c r="A331" s="138"/>
      <c r="B331" s="419"/>
      <c r="C331" s="284" t="str">
        <f>IF(Tool!$H$7="Français",G331,IF(Tool!$H$7="Italiano",I331,E331))</f>
        <v>Weiter</v>
      </c>
      <c r="D331" s="912"/>
      <c r="E331" s="1619" t="s">
        <v>75</v>
      </c>
      <c r="F331" s="1647"/>
      <c r="G331" s="1619" t="s">
        <v>77</v>
      </c>
      <c r="H331" s="912"/>
      <c r="I331" s="320" t="s">
        <v>1116</v>
      </c>
      <c r="J331" s="316"/>
      <c r="K331" s="705" t="s">
        <v>567</v>
      </c>
      <c r="L331" s="690"/>
      <c r="M331" s="690"/>
      <c r="N331" s="690"/>
      <c r="O331" s="690"/>
      <c r="P331" s="690"/>
      <c r="Q331" s="922">
        <f>IF(AY74="NB",0,AY74)</f>
        <v>0</v>
      </c>
      <c r="R331" s="922">
        <f>IF(BB74="NB",0,BB74)</f>
        <v>0</v>
      </c>
      <c r="S331" s="922">
        <f>IF(BC74="NB",0,BC74)</f>
        <v>0</v>
      </c>
      <c r="T331" s="922">
        <f>IF(BD74="NB",0,BD74)</f>
        <v>0</v>
      </c>
      <c r="U331" s="922"/>
      <c r="V331" s="138"/>
      <c r="W331" s="138"/>
      <c r="X331" s="138"/>
      <c r="Y331" s="138"/>
      <c r="Z331" s="138"/>
      <c r="AA331" s="138"/>
      <c r="AB331" s="138"/>
      <c r="AC331" s="138"/>
      <c r="AD331" s="138"/>
      <c r="AE331" s="138"/>
      <c r="AF331" s="138"/>
      <c r="AG331" s="138"/>
      <c r="AH331" s="138"/>
      <c r="AI331" s="138"/>
      <c r="AJ331" s="313"/>
      <c r="AK331" s="313"/>
      <c r="AL331" s="313"/>
      <c r="AM331" s="313"/>
      <c r="AN331" s="313"/>
      <c r="AO331" s="354"/>
      <c r="AP331" s="354"/>
      <c r="AQ331" s="354"/>
      <c r="AR331" s="354"/>
      <c r="AS331" s="354"/>
      <c r="AT331" s="354"/>
      <c r="AU331" s="354"/>
      <c r="AV331" s="355"/>
      <c r="AW331" s="355"/>
      <c r="AX331" s="313"/>
      <c r="AY331" s="313"/>
      <c r="BB331" s="313"/>
      <c r="BC331" s="313"/>
      <c r="BD331" s="313"/>
      <c r="BE331" s="138"/>
      <c r="BF331" s="138"/>
      <c r="BG331" s="138"/>
      <c r="BH331" s="138"/>
      <c r="BI331" s="138"/>
    </row>
    <row r="332" spans="1:62" ht="15" customHeight="1">
      <c r="A332" s="138"/>
      <c r="B332" s="307" t="s">
        <v>72</v>
      </c>
      <c r="C332" s="869" t="str">
        <f>IF(Tool!$H$7="Français",G332,IF(Tool!$H$7="Italiano",I332,E332))</f>
        <v>Willkommen beim ''Pre-Check SNBS 2023.1 Hochbau''</v>
      </c>
      <c r="D332" s="913" t="s">
        <v>72</v>
      </c>
      <c r="E332" s="1620" t="str">
        <f>"Willkommen beim ''"&amp;E312&amp;"''"</f>
        <v>Willkommen beim ''Pre-Check SNBS 2023.1 Hochbau''</v>
      </c>
      <c r="F332" s="1631" t="s">
        <v>72</v>
      </c>
      <c r="G332" s="1620" t="str">
        <f>"Bienvenue dans le ''"&amp;G312&amp;"''"</f>
        <v>Bienvenue dans le ''Pre-Check SNBS 2023.1 Bâtiment''</v>
      </c>
      <c r="H332" s="913"/>
      <c r="I332" s="332" t="str">
        <f>"Benvenuti nel ''"&amp;I312&amp;"'"""</f>
        <v>Benvenuti nel ''Pre-Check SNBS 2023.1 Edificio'"</v>
      </c>
      <c r="J332" s="316"/>
      <c r="K332" s="816" t="s">
        <v>0</v>
      </c>
      <c r="L332" s="690"/>
      <c r="M332" s="691"/>
      <c r="N332" s="691"/>
      <c r="O332" s="692"/>
      <c r="P332" s="692"/>
      <c r="Q332" s="922">
        <f>IF(AY73="NB",0,AY73)</f>
        <v>0</v>
      </c>
      <c r="R332" s="922" t="str">
        <f>IF(BB73="NB",0,BB73)</f>
        <v/>
      </c>
      <c r="S332" s="922" t="str">
        <f>IF(BC73="NB",0,BC73)</f>
        <v/>
      </c>
      <c r="T332" s="922" t="str">
        <f>IF(BD73="NB",0,BD73)</f>
        <v/>
      </c>
      <c r="U332" s="922"/>
      <c r="V332" s="138"/>
      <c r="W332" s="138"/>
      <c r="X332" s="138"/>
      <c r="Y332" s="138"/>
      <c r="Z332" s="138"/>
      <c r="AA332" s="138"/>
      <c r="AB332" s="138"/>
      <c r="AC332" s="138"/>
      <c r="AD332" s="138"/>
      <c r="AE332" s="138"/>
      <c r="AF332" s="138"/>
      <c r="AG332" s="138"/>
      <c r="AH332" s="138"/>
      <c r="AI332" s="138"/>
      <c r="AJ332" s="313"/>
      <c r="AK332" s="313"/>
      <c r="AL332" s="313"/>
      <c r="AM332" s="313"/>
      <c r="AN332" s="313"/>
      <c r="AO332" s="354"/>
      <c r="AP332" s="354"/>
      <c r="AQ332" s="354"/>
      <c r="AR332" s="354"/>
      <c r="AS332" s="354"/>
      <c r="AT332" s="354"/>
      <c r="AU332" s="354"/>
      <c r="AV332" s="355"/>
      <c r="AW332" s="355"/>
      <c r="AX332" s="313"/>
      <c r="AY332" s="313"/>
      <c r="BB332" s="313"/>
      <c r="BC332" s="313"/>
      <c r="BD332" s="312"/>
      <c r="BE332" s="138"/>
      <c r="BF332" s="138"/>
      <c r="BG332" s="138"/>
      <c r="BH332" s="138"/>
      <c r="BI332" s="138"/>
    </row>
    <row r="333" spans="1:62" ht="15" customHeight="1">
      <c r="A333" s="312"/>
      <c r="B333" s="295"/>
      <c r="C333" s="284" t="str">
        <f>IF(Tool!$H$7="Français",G333,IF(Tool!$H$7="Italiano",I333,E333))</f>
        <v>Der ''Pre-Check SNBS 2023.1 Hochbau'' ermöglicht es, innerhalb von nur 30 bis 120 Minuten durch die Beantwortung einfacher Fragen, Aussagen zur Nachhaltigkeit eines Projekts zu erhalten. Dabei werden in einer frühen Phase des Bauvorhabens Stolpersteine identifiziert, welche eine gesamtheitlich genügende Nachhaltigkeitsbewertung gefährden. Verbesserungsmassnahmen können dadurch frühzeitig eingeleitet werden.</v>
      </c>
      <c r="D333" s="302"/>
      <c r="E333" s="972" t="s">
        <v>1348</v>
      </c>
      <c r="F333" s="1634"/>
      <c r="G333" s="972" t="s">
        <v>1081</v>
      </c>
      <c r="H333" s="302"/>
      <c r="I333" s="296" t="s">
        <v>1867</v>
      </c>
      <c r="J333" s="316"/>
      <c r="K333" s="816" t="s">
        <v>20</v>
      </c>
      <c r="L333" s="690"/>
      <c r="M333" s="691"/>
      <c r="N333" s="691"/>
      <c r="O333" s="691"/>
      <c r="P333" s="691"/>
      <c r="Q333" s="922">
        <f>IF(AY183="NB",0,AY183)</f>
        <v>0</v>
      </c>
      <c r="R333" s="922" t="str">
        <f>IF(BB183="NB",0,BB183)</f>
        <v/>
      </c>
      <c r="S333" s="922" t="str">
        <f>IF(BC183="NB",0,BC183)</f>
        <v/>
      </c>
      <c r="T333" s="922" t="str">
        <f>IF(BD183="NB",0,BD183)</f>
        <v/>
      </c>
      <c r="U333" s="922"/>
      <c r="V333" s="138"/>
      <c r="W333" s="138"/>
      <c r="X333" s="138"/>
      <c r="Y333" s="138"/>
      <c r="Z333" s="138"/>
      <c r="AA333" s="138"/>
      <c r="AB333" s="138"/>
      <c r="AC333" s="138"/>
      <c r="AD333" s="138"/>
      <c r="AE333" s="138"/>
      <c r="AF333" s="138"/>
      <c r="AG333" s="138"/>
      <c r="AH333" s="138"/>
      <c r="AI333" s="138"/>
      <c r="AJ333" s="313"/>
      <c r="AK333" s="313"/>
      <c r="AL333" s="313"/>
      <c r="AM333" s="313"/>
      <c r="AN333" s="313"/>
      <c r="AO333" s="354"/>
      <c r="AP333" s="354"/>
      <c r="AQ333" s="354"/>
      <c r="AR333" s="354"/>
      <c r="AS333" s="354"/>
      <c r="AT333" s="354"/>
      <c r="AU333" s="354"/>
      <c r="AV333" s="355"/>
      <c r="AW333" s="355"/>
      <c r="AX333" s="313"/>
      <c r="AY333" s="313"/>
      <c r="BB333" s="313"/>
      <c r="BC333" s="313"/>
      <c r="BD333" s="313"/>
      <c r="BE333" s="138"/>
      <c r="BF333" s="138"/>
      <c r="BG333" s="138"/>
      <c r="BH333" s="138"/>
      <c r="BI333" s="138"/>
    </row>
    <row r="334" spans="1:62" ht="15" customHeight="1">
      <c r="A334" s="138"/>
      <c r="B334" s="295"/>
      <c r="C334" s="284" t="str">
        <f>IF(Tool!$H$7="Français",G334,IF(Tool!$H$7="Italiano",I334,E334))</f>
        <v>Bei der erstmaligen Pre-Check-Benutzung kann der kurze Erläuterungstext (Blatt Intro) hilfreich sein.</v>
      </c>
      <c r="D334" s="302"/>
      <c r="E334" s="1655" t="s">
        <v>1349</v>
      </c>
      <c r="F334" s="1634"/>
      <c r="G334" s="1655" t="s">
        <v>283</v>
      </c>
      <c r="H334" s="1617"/>
      <c r="I334" s="761" t="s">
        <v>1117</v>
      </c>
      <c r="J334" s="315"/>
      <c r="K334" s="817" t="s">
        <v>21</v>
      </c>
      <c r="L334" s="693"/>
      <c r="M334" s="694"/>
      <c r="N334" s="694"/>
      <c r="O334" s="694"/>
      <c r="P334" s="694"/>
      <c r="Q334" s="923">
        <f>IF(AY224="NB",0,AY224)</f>
        <v>0</v>
      </c>
      <c r="R334" s="923" t="str">
        <f>IF(BB224="NB",0,BB224)</f>
        <v/>
      </c>
      <c r="S334" s="923" t="str">
        <f>IF(BC224="NB",0,BC224)</f>
        <v/>
      </c>
      <c r="T334" s="923" t="str">
        <f>IF(BD224="NB",0,BD224)</f>
        <v/>
      </c>
      <c r="U334" s="923"/>
      <c r="V334" s="138"/>
      <c r="W334" s="138"/>
      <c r="X334" s="138"/>
      <c r="Y334" s="138"/>
      <c r="Z334" s="138"/>
      <c r="AA334" s="138"/>
      <c r="AB334" s="138"/>
      <c r="AC334" s="138"/>
      <c r="AD334" s="138"/>
      <c r="AE334" s="313"/>
      <c r="AF334" s="313"/>
      <c r="AG334" s="354"/>
      <c r="AH334" s="354"/>
      <c r="AI334" s="354"/>
      <c r="AJ334" s="138"/>
      <c r="AK334" s="138"/>
      <c r="AL334" s="138"/>
      <c r="AM334" s="138"/>
      <c r="AN334" s="138"/>
      <c r="AO334" s="138"/>
      <c r="AP334" s="138"/>
      <c r="AQ334" s="138"/>
      <c r="AR334" s="138"/>
      <c r="AS334" s="138"/>
      <c r="AT334" s="138"/>
      <c r="AU334" s="138"/>
      <c r="AV334" s="138"/>
      <c r="AW334" s="138"/>
      <c r="AX334" s="138"/>
      <c r="AY334" s="138"/>
      <c r="BB334" s="138"/>
      <c r="BC334" s="138"/>
      <c r="BD334" s="138"/>
      <c r="BE334" s="138"/>
      <c r="BF334" s="138"/>
      <c r="BG334" s="138"/>
      <c r="BH334" s="138"/>
      <c r="BI334" s="138"/>
    </row>
    <row r="335" spans="1:62" ht="15" customHeight="1">
      <c r="A335" s="138"/>
      <c r="B335" s="297"/>
      <c r="C335" s="284" t="str">
        <f>IF(Tool!$H$7="Français",G335,IF(Tool!$H$7="Italiano",I335,E335))</f>
        <v>Der Pre-Check kann jedoch auch problemlos direkt mit dem Fragenkatalog gestartet werden. Versuchen Sie bei einer ersten Projektbewertung bzw. bei einer ersten Bearbeitung des Fragenkatalogs möglichst spontane Antworten zu geben. Wo sie sich nicht sicher sind, wählen Sie einfach die Option «weiss nicht». Das Tool ist so aufgebaut, dass solche Antworten entsprechend bewertet oder zu spezifischeren Fragen zum Thema führen.</v>
      </c>
      <c r="D335" s="303"/>
      <c r="E335" s="1648" t="s">
        <v>1080</v>
      </c>
      <c r="F335" s="1641"/>
      <c r="G335" s="1648" t="s">
        <v>1912</v>
      </c>
      <c r="H335" s="303"/>
      <c r="I335" s="298" t="s">
        <v>1868</v>
      </c>
      <c r="J335" s="316"/>
      <c r="K335" s="144"/>
      <c r="L335" s="138"/>
      <c r="M335" s="138"/>
      <c r="N335" s="138"/>
      <c r="O335" s="138"/>
      <c r="P335" s="138"/>
      <c r="Q335" s="138"/>
      <c r="R335" s="138"/>
      <c r="S335" s="138"/>
      <c r="T335" s="138"/>
      <c r="U335" s="138"/>
      <c r="V335" s="138"/>
      <c r="W335" s="138"/>
      <c r="X335" s="138"/>
      <c r="Y335" s="138"/>
      <c r="Z335" s="138"/>
      <c r="AA335" s="138"/>
      <c r="AB335" s="138"/>
      <c r="AC335" s="313"/>
      <c r="AD335" s="313"/>
      <c r="AI335" s="354"/>
      <c r="AJ335" s="138"/>
      <c r="AK335" s="138"/>
      <c r="AL335" s="138"/>
      <c r="AM335" s="138"/>
      <c r="AN335" s="138"/>
      <c r="AO335" s="138"/>
      <c r="AP335" s="138"/>
      <c r="AQ335" s="138"/>
      <c r="AR335" s="138"/>
      <c r="AS335" s="138"/>
      <c r="AT335" s="138"/>
      <c r="AU335" s="138"/>
      <c r="AV335" s="138"/>
      <c r="AW335" s="138"/>
      <c r="AX335" s="138"/>
      <c r="AY335" s="138"/>
      <c r="BB335" s="138"/>
      <c r="BC335" s="138"/>
      <c r="BD335" s="138"/>
      <c r="BE335" s="138"/>
      <c r="BF335" s="138"/>
      <c r="BG335" s="138"/>
      <c r="BH335" s="138"/>
      <c r="BI335" s="138"/>
    </row>
    <row r="336" spans="1:62" ht="15" customHeight="1">
      <c r="A336" s="138"/>
      <c r="B336" s="307" t="s">
        <v>78</v>
      </c>
      <c r="C336" s="869" t="str">
        <f>IF(Tool!$H$7="Français",G336,IF(Tool!$H$7="Italiano",I336,E336))</f>
        <v>Bereichen, Themen, Kritierien</v>
      </c>
      <c r="D336" s="913" t="s">
        <v>78</v>
      </c>
      <c r="E336" s="1622" t="s">
        <v>1082</v>
      </c>
      <c r="F336" s="1631" t="s">
        <v>78</v>
      </c>
      <c r="G336" s="1622" t="s">
        <v>1083</v>
      </c>
      <c r="H336" s="913"/>
      <c r="I336" s="294" t="s">
        <v>1118</v>
      </c>
      <c r="J336" s="316"/>
      <c r="K336" s="752" t="s">
        <v>440</v>
      </c>
      <c r="L336" s="884"/>
      <c r="M336" s="884"/>
      <c r="N336" s="884"/>
      <c r="O336" s="884"/>
      <c r="P336" s="885"/>
      <c r="Q336" s="752" t="s">
        <v>440</v>
      </c>
      <c r="R336" s="884"/>
      <c r="S336" s="884"/>
      <c r="T336" s="884"/>
      <c r="U336" s="884"/>
      <c r="V336" s="885"/>
      <c r="W336" s="752" t="s">
        <v>1473</v>
      </c>
      <c r="X336" s="884"/>
      <c r="Y336" s="884"/>
      <c r="Z336" s="884"/>
      <c r="AA336" s="884"/>
      <c r="AB336" s="885"/>
      <c r="AC336" s="752" t="s">
        <v>1671</v>
      </c>
      <c r="AD336" s="884"/>
      <c r="AE336" s="884"/>
      <c r="AF336" s="884"/>
      <c r="AG336" s="884"/>
      <c r="AH336" s="885"/>
      <c r="AI336" s="352"/>
      <c r="AJ336" s="313"/>
      <c r="AK336" s="313"/>
      <c r="AL336" s="313"/>
      <c r="AM336" s="313"/>
      <c r="AN336" s="313"/>
      <c r="AO336" s="354"/>
      <c r="AP336" s="354"/>
      <c r="AQ336" s="354"/>
      <c r="AR336" s="354"/>
      <c r="AS336" s="354"/>
      <c r="AT336" s="354"/>
      <c r="AU336" s="354"/>
      <c r="AV336" s="355"/>
      <c r="AW336" s="353"/>
      <c r="AX336" s="313"/>
      <c r="AY336" s="313"/>
      <c r="BB336" s="313"/>
      <c r="BC336" s="313"/>
      <c r="BD336" s="313"/>
      <c r="BE336" s="138"/>
      <c r="BF336" s="138"/>
      <c r="BG336" s="138"/>
      <c r="BH336" s="138"/>
      <c r="BI336" s="138"/>
    </row>
    <row r="337" spans="1:61" ht="15" customHeight="1">
      <c r="A337" s="311"/>
      <c r="B337" s="295"/>
      <c r="C337" s="284" t="str">
        <f>IF(Tool!$H$7="Français",G337,IF(Tool!$H$7="Italiano",I337,E337))</f>
        <v>Der Standard Nachhaltiges Bauen Schweiz SNBS Hochbau ist der erste umfassende und zertifizierungsfähige Standard für nachhaltige Gebäude in der Schweiz. Er basiert auf der Nachhaltigkeitsstrategie des Bundesrats und soll einen Betrag zur Klimapolitik leisten.</v>
      </c>
      <c r="D337" s="302"/>
      <c r="E337" s="972" t="s">
        <v>1649</v>
      </c>
      <c r="F337" s="1634"/>
      <c r="G337" s="972" t="s">
        <v>1102</v>
      </c>
      <c r="H337" s="302"/>
      <c r="I337" s="296" t="s">
        <v>1119</v>
      </c>
      <c r="J337" s="316"/>
      <c r="K337" s="1129" t="str">
        <f>AL30</f>
        <v>Wohlbefinden &amp; Gesundheit</v>
      </c>
      <c r="L337" s="1130" t="str">
        <f>AL28</f>
        <v>Gebrauchsqualität</v>
      </c>
      <c r="M337" s="1130" t="str">
        <f>AL26</f>
        <v>Angebot &amp; Erreichbarkeit</v>
      </c>
      <c r="N337" s="1130" t="str">
        <f>AL23</f>
        <v>Qualität der Entwicklung</v>
      </c>
      <c r="O337" s="440"/>
      <c r="P337" s="441"/>
      <c r="Q337" s="1129" t="str">
        <f>AL30</f>
        <v>Wohlbefinden &amp; Gesundheit</v>
      </c>
      <c r="R337" s="1130" t="str">
        <f>AL28</f>
        <v>Gebrauchsqualität</v>
      </c>
      <c r="S337" s="1130" t="str">
        <f>AL26</f>
        <v>Angebot &amp; Erreichbarkeit</v>
      </c>
      <c r="T337" s="1130" t="str">
        <f>AL23</f>
        <v>Qualität der Entwicklung</v>
      </c>
      <c r="U337" s="440"/>
      <c r="V337" s="441"/>
      <c r="W337" s="1129" t="str">
        <f>AL30</f>
        <v>Wohlbefinden &amp; Gesundheit</v>
      </c>
      <c r="X337" s="1130" t="str">
        <f>AL28</f>
        <v>Gebrauchsqualität</v>
      </c>
      <c r="Y337" s="1130" t="str">
        <f>AL26</f>
        <v>Angebot &amp; Erreichbarkeit</v>
      </c>
      <c r="Z337" s="1130" t="str">
        <f>AL23</f>
        <v>Qualität der Entwicklung</v>
      </c>
      <c r="AA337" s="440"/>
      <c r="AB337" s="441"/>
      <c r="AC337" s="1129" t="str">
        <f>AL30</f>
        <v>Wohlbefinden &amp; Gesundheit</v>
      </c>
      <c r="AD337" s="1130" t="str">
        <f>AL28</f>
        <v>Gebrauchsqualität</v>
      </c>
      <c r="AE337" s="1130" t="str">
        <f>AL26</f>
        <v>Angebot &amp; Erreichbarkeit</v>
      </c>
      <c r="AF337" s="1130" t="str">
        <f>AL23</f>
        <v>Qualität der Entwicklung</v>
      </c>
      <c r="AG337" s="440"/>
      <c r="AH337" s="441"/>
      <c r="AI337" s="354"/>
      <c r="AJ337" s="313"/>
      <c r="AK337" s="313"/>
      <c r="AL337" s="313"/>
      <c r="AM337" s="313"/>
      <c r="AN337" s="313"/>
      <c r="AO337" s="354"/>
      <c r="AP337" s="354"/>
      <c r="AQ337" s="354"/>
      <c r="AR337" s="354"/>
      <c r="AS337" s="354"/>
      <c r="AT337" s="354"/>
      <c r="AU337" s="354"/>
      <c r="AV337" s="355"/>
      <c r="AW337" s="355"/>
      <c r="AX337" s="313"/>
      <c r="AY337" s="313"/>
      <c r="BB337" s="313"/>
      <c r="BC337" s="313"/>
      <c r="BD337" s="313"/>
      <c r="BE337" s="138"/>
      <c r="BF337" s="138"/>
      <c r="BG337" s="138"/>
      <c r="BH337" s="138"/>
      <c r="BI337" s="138"/>
    </row>
    <row r="338" spans="1:61" ht="15" customHeight="1">
      <c r="A338" s="138"/>
      <c r="B338" s="295"/>
      <c r="C338" s="284" t="str">
        <f>IF(Tool!$H$7="Français",G338,IF(Tool!$H$7="Italiano",I338,E338))</f>
        <v>Entwickelt und gepflegt wird der SNBS vom Netzwerk Nachhaltiges Bauen Schweiz NNBS in enger Zusammenarbeit mit einer Zertifizierungsstelle. Entstanden ist der Standard als Gemeinschaftswerk von privater Seite und öffentlicher Hand. So konsolidiert er die relevanten Ansätze und Konzepte des nachhaltigen Bauens in der Schweiz und führt sie zu einem neuen Ganzen zusammen.</v>
      </c>
      <c r="D338" s="302"/>
      <c r="E338" s="972" t="s">
        <v>1084</v>
      </c>
      <c r="F338" s="1634"/>
      <c r="G338" s="972" t="s">
        <v>1085</v>
      </c>
      <c r="H338" s="302"/>
      <c r="I338" s="296" t="s">
        <v>1869</v>
      </c>
      <c r="J338" s="314"/>
      <c r="K338" s="1334">
        <f>Q318</f>
        <v>0</v>
      </c>
      <c r="L338" s="1335">
        <f>Q317</f>
        <v>0</v>
      </c>
      <c r="M338" s="1335">
        <f>Q316</f>
        <v>0</v>
      </c>
      <c r="N338" s="1336">
        <f>Q315</f>
        <v>0</v>
      </c>
      <c r="O338" s="442"/>
      <c r="P338" s="38"/>
      <c r="Q338" s="1334">
        <f>-K338</f>
        <v>0</v>
      </c>
      <c r="R338" s="1335">
        <f t="shared" ref="R338:T338" si="64">-L338</f>
        <v>0</v>
      </c>
      <c r="S338" s="1335">
        <f t="shared" si="64"/>
        <v>0</v>
      </c>
      <c r="T338" s="1336">
        <f t="shared" si="64"/>
        <v>0</v>
      </c>
      <c r="U338" s="442"/>
      <c r="V338" s="38"/>
      <c r="W338" s="1334">
        <f>R318</f>
        <v>0</v>
      </c>
      <c r="X338" s="1335">
        <f>R317</f>
        <v>0</v>
      </c>
      <c r="Y338" s="1335">
        <f>R316</f>
        <v>0</v>
      </c>
      <c r="Z338" s="1336">
        <f>R315</f>
        <v>0</v>
      </c>
      <c r="AA338" s="442"/>
      <c r="AB338" s="38"/>
      <c r="AC338" s="1334">
        <f>U318</f>
        <v>0</v>
      </c>
      <c r="AD338" s="1335">
        <f>U317</f>
        <v>0</v>
      </c>
      <c r="AE338" s="1335">
        <f>U316</f>
        <v>0</v>
      </c>
      <c r="AF338" s="1336">
        <f>U315</f>
        <v>0</v>
      </c>
      <c r="AG338" s="442"/>
      <c r="AH338" s="38"/>
      <c r="AI338" s="354"/>
      <c r="AJ338" s="313"/>
      <c r="AK338" s="313"/>
      <c r="AL338" s="313"/>
      <c r="AM338" s="313"/>
      <c r="AN338" s="313"/>
      <c r="AO338" s="354"/>
      <c r="AP338" s="354"/>
      <c r="AQ338" s="354"/>
      <c r="AR338" s="354"/>
      <c r="AS338" s="354"/>
      <c r="AT338" s="354"/>
      <c r="AU338" s="354"/>
      <c r="AV338" s="355"/>
      <c r="AW338" s="355"/>
      <c r="AX338" s="313"/>
      <c r="AY338" s="313"/>
      <c r="BB338" s="313"/>
      <c r="BC338" s="313"/>
      <c r="BD338" s="313"/>
      <c r="BE338" s="138"/>
      <c r="BF338" s="138"/>
      <c r="BG338" s="138"/>
      <c r="BH338" s="138"/>
      <c r="BI338" s="138"/>
    </row>
    <row r="339" spans="1:61" ht="15" customHeight="1">
      <c r="A339" s="138"/>
      <c r="B339" s="295"/>
      <c r="C339" s="284" t="str">
        <f>IF(Tool!$H$7="Français",G339,IF(Tool!$H$7="Italiano",I339,E339))</f>
        <v>Der SNBS 2023.1 Hochbau ist in die drei Bereiche der Nachhaltigkeit (Gesellschaft, Wirtschaft und Umwelt) aufgeteilt, in welchen die jeweils zu bewertenden Kriterien in verschiedene Themen zusammengefasst werden. Insgesamt werden 35 Kriterien aus 11 Themen bewertet.</v>
      </c>
      <c r="D339" s="302"/>
      <c r="E339" s="972" t="s">
        <v>1086</v>
      </c>
      <c r="F339" s="1634"/>
      <c r="G339" s="972" t="s">
        <v>1087</v>
      </c>
      <c r="H339" s="302"/>
      <c r="I339" s="296" t="s">
        <v>1870</v>
      </c>
      <c r="J339" s="318"/>
      <c r="K339" s="1328">
        <f>IF(K338&lt;=0.5,K338,IF(K338&gt;0.5,0.5))</f>
        <v>0</v>
      </c>
      <c r="L339" s="1328">
        <f>IF(L338&lt;=0.5,L338,IF(L338&gt;0.5,0.5))</f>
        <v>0</v>
      </c>
      <c r="M339" s="1328">
        <f>IF(M338&lt;=0.5,M338,IF(M338&gt;0.5,0.5))</f>
        <v>0</v>
      </c>
      <c r="N339" s="1329">
        <f>IF(N338&lt;=0.5,N338,IF(N338&gt;0.5,0.5))</f>
        <v>0</v>
      </c>
      <c r="O339" s="437"/>
      <c r="P339" s="429"/>
      <c r="Q339" s="1328">
        <f t="shared" ref="Q339:Q346" si="65">-K339</f>
        <v>0</v>
      </c>
      <c r="R339" s="1328">
        <f t="shared" ref="R339:S346" si="66">-L339</f>
        <v>0</v>
      </c>
      <c r="S339" s="1328">
        <f t="shared" ref="S339:S342" si="67">-M339</f>
        <v>0</v>
      </c>
      <c r="T339" s="1329">
        <f t="shared" ref="T339:T346" si="68">-N339</f>
        <v>0</v>
      </c>
      <c r="U339" s="437"/>
      <c r="V339" s="429"/>
      <c r="W339" s="1328">
        <f>IF(W338&lt;=0.5,W338,IF(W338&gt;0.5,0.5))</f>
        <v>0</v>
      </c>
      <c r="X339" s="1328">
        <f>IF(X338&lt;=0.5,X338,IF(X338&gt;0.5,0.5))</f>
        <v>0</v>
      </c>
      <c r="Y339" s="1328">
        <f>IF(Y338&lt;=0.5,Y338,IF(Y338&gt;0.5,0.5))</f>
        <v>0</v>
      </c>
      <c r="Z339" s="1329">
        <f>IF(Z338&lt;=0.5,Z338,IF(Z338&gt;0.5,0.5))</f>
        <v>0</v>
      </c>
      <c r="AA339" s="437"/>
      <c r="AB339" s="429"/>
      <c r="AC339" s="1328">
        <f>-IF(AC338&lt;=0.5,AC338,IF(AC338&gt;0.5,0.5))</f>
        <v>0</v>
      </c>
      <c r="AD339" s="1328">
        <f>-IF(AD338&lt;=0.5,AD338,IF(AD338&gt;0.5,0.5))</f>
        <v>0</v>
      </c>
      <c r="AE339" s="1328">
        <f>-IF(AE338&lt;=0.5,AE338,IF(AE338&gt;0.5,0.5))</f>
        <v>0</v>
      </c>
      <c r="AF339" s="1329">
        <f>-IF(AF338&lt;=0.5,AF338,IF(AF338&gt;0.5,0.5))</f>
        <v>0</v>
      </c>
      <c r="AG339" s="437"/>
      <c r="AH339" s="429"/>
      <c r="AI339" s="354"/>
      <c r="AJ339" s="312"/>
      <c r="AK339" s="312"/>
      <c r="AL339" s="312"/>
      <c r="AM339" s="312"/>
      <c r="AN339" s="312"/>
      <c r="AO339" s="352"/>
      <c r="AP339" s="352"/>
      <c r="AQ339" s="352"/>
      <c r="AR339" s="352"/>
      <c r="AS339" s="352"/>
      <c r="AT339" s="352"/>
      <c r="AU339" s="352"/>
      <c r="AV339" s="355"/>
      <c r="AW339" s="355"/>
      <c r="AX339" s="313"/>
      <c r="AY339" s="313"/>
      <c r="BB339" s="313"/>
      <c r="BC339" s="313"/>
      <c r="BD339" s="313"/>
      <c r="BE339" s="138"/>
      <c r="BF339" s="138"/>
      <c r="BG339" s="138"/>
      <c r="BH339" s="138"/>
      <c r="BI339" s="138"/>
    </row>
    <row r="340" spans="1:61" ht="15" customHeight="1">
      <c r="A340" s="138"/>
      <c r="B340" s="338"/>
      <c r="C340" s="875" t="str">
        <f>IF(Tool!$H$7="Français",G340,IF(Tool!$H$7="Italiano",I340,E340))</f>
        <v>Nummerierung der Kriterien</v>
      </c>
      <c r="D340" s="914"/>
      <c r="E340" s="1649" t="s">
        <v>1088</v>
      </c>
      <c r="F340" s="1650"/>
      <c r="G340" s="1649" t="s">
        <v>1089</v>
      </c>
      <c r="H340" s="914"/>
      <c r="I340" s="1611" t="s">
        <v>1120</v>
      </c>
      <c r="J340" s="318"/>
      <c r="K340" s="1330">
        <f>IF(K338&lt;=0.5,0,IF(AND(K338&lt;=0.65,K338&gt;0.5),K338-0.5,IF(K338&gt;0.65,0.15)))</f>
        <v>0</v>
      </c>
      <c r="L340" s="1330">
        <f>IF(L338&lt;=0.5,0,IF(AND(L338&lt;=0.65,L338&gt;0.5),L338-0.5,IF(L338&gt;0.65,0.15)))</f>
        <v>0</v>
      </c>
      <c r="M340" s="1330">
        <f>IF(M338&lt;=0.5,0,IF(AND(M338&lt;=0.65,M338&gt;0.5),M338-0.5,IF(M338&gt;0.65,0.15)))</f>
        <v>0</v>
      </c>
      <c r="N340" s="1331">
        <f>IF(N338&lt;=0.5,0,IF(AND(N338&lt;=0.65,N338&gt;0.5),N338-0.5,IF(N338&gt;0.65,0.15)))</f>
        <v>0</v>
      </c>
      <c r="O340" s="437"/>
      <c r="P340" s="429"/>
      <c r="Q340" s="1330">
        <f t="shared" si="65"/>
        <v>0</v>
      </c>
      <c r="R340" s="1330">
        <f t="shared" si="66"/>
        <v>0</v>
      </c>
      <c r="S340" s="1330">
        <f t="shared" si="67"/>
        <v>0</v>
      </c>
      <c r="T340" s="1331">
        <f t="shared" si="68"/>
        <v>0</v>
      </c>
      <c r="U340" s="437"/>
      <c r="V340" s="429"/>
      <c r="W340" s="1330">
        <f>IF(W338&lt;=0.5,0,IF(AND(W338&lt;=0.65,W338&gt;0.5),W338-0.5,IF(W338&gt;0.65,0.15)))</f>
        <v>0</v>
      </c>
      <c r="X340" s="1330">
        <f>IF(X338&lt;=0.5,0,IF(AND(X338&lt;=0.65,X338&gt;0.5),X338-0.5,IF(X338&gt;0.65,0.15)))</f>
        <v>0</v>
      </c>
      <c r="Y340" s="1330">
        <f>IF(Y338&lt;=0.5,0,IF(AND(Y338&lt;=0.65,Y338&gt;0.5),Y338-0.5,IF(Y338&gt;0.65,0.15)))</f>
        <v>0</v>
      </c>
      <c r="Z340" s="1331">
        <f>IF(Z338&lt;=0.5,0,IF(AND(Z338&lt;=0.65,Z338&gt;0.5),Z338-0.5,IF(Z338&gt;0.65,0.15)))</f>
        <v>0</v>
      </c>
      <c r="AA340" s="437"/>
      <c r="AB340" s="429"/>
      <c r="AC340" s="1330">
        <f>-IF(AC338&lt;=0.5,0,IF(AND(AC338&lt;=0.65,AC338&gt;0.5),AC338-0.5,IF(AC338&gt;0.65,0.15)))</f>
        <v>0</v>
      </c>
      <c r="AD340" s="1330">
        <f>-IF(AD338&lt;=0.5,0,IF(AND(AD338&lt;=0.65,AD338&gt;0.5),AD338-0.5,IF(AD338&gt;0.65,0.15)))</f>
        <v>0</v>
      </c>
      <c r="AE340" s="1330">
        <f>-IF(AE338&lt;=0.5,0,IF(AND(AE338&lt;=0.65,AE338&gt;0.5),AE338-0.5,IF(AE338&gt;0.65,0.15)))</f>
        <v>0</v>
      </c>
      <c r="AF340" s="1331">
        <f>-IF(AF338&lt;=0.5,0,IF(AND(AF338&lt;=0.65,AF338&gt;0.5),AF338-0.5,IF(AF338&gt;0.65,0.15)))</f>
        <v>0</v>
      </c>
      <c r="AG340" s="437"/>
      <c r="AH340" s="429"/>
      <c r="AI340" s="354"/>
      <c r="AJ340" s="313"/>
      <c r="AK340" s="313"/>
      <c r="AL340" s="313"/>
      <c r="AM340" s="313"/>
      <c r="AN340" s="313"/>
      <c r="AO340" s="354"/>
      <c r="AP340" s="354"/>
      <c r="AQ340" s="354"/>
      <c r="AR340" s="354"/>
      <c r="AS340" s="354"/>
      <c r="AT340" s="354"/>
      <c r="AU340" s="354"/>
      <c r="AV340" s="355"/>
      <c r="AW340" s="355"/>
      <c r="AX340" s="313"/>
      <c r="AY340" s="313"/>
      <c r="BB340" s="313"/>
      <c r="BC340" s="313"/>
      <c r="BD340" s="313"/>
      <c r="BE340" s="138"/>
      <c r="BF340" s="138"/>
      <c r="BG340" s="138"/>
      <c r="BH340" s="138"/>
      <c r="BI340" s="138"/>
    </row>
    <row r="341" spans="1:61" ht="14.25" customHeight="1">
      <c r="A341" s="311"/>
      <c r="B341" s="295"/>
      <c r="C341" s="284" t="str">
        <f>IF(Tool!$H$7="Français",G341,IF(Tool!$H$7="Italiano",I341,E341))</f>
        <v>Die Nummerierung der Kriterien ist wie folgt strukturiert: Die erste Ziffer steht für den Bereich, die zweite Ziffer für das Thema und die dritte Ziffer nummeriert die maximal 7 Kriterien pro Thema.</v>
      </c>
      <c r="D341" s="302"/>
      <c r="E341" s="1618" t="s">
        <v>1090</v>
      </c>
      <c r="F341" s="1634"/>
      <c r="G341" s="1618" t="s">
        <v>1091</v>
      </c>
      <c r="H341" s="302"/>
      <c r="I341" s="319" t="s">
        <v>1871</v>
      </c>
      <c r="J341" s="318"/>
      <c r="K341" s="1330">
        <f>IF(K338&lt;=0.65,0,IF(AND(K338&lt;=0.85,K338&gt;0.65),K338-0.65,IF(K338&gt;0.85,0.2)))</f>
        <v>0</v>
      </c>
      <c r="L341" s="1330">
        <f>IF(L338&lt;=0.65,0,IF(AND(L338&lt;=0.85,L338&gt;0.65),L338-0.65,IF(L338&gt;0.85,0.2)))</f>
        <v>0</v>
      </c>
      <c r="M341" s="1330">
        <f>IF(M338&lt;=0.65,0,IF(AND(M338&lt;=0.85,M338&gt;0.65),M338-0.65,IF(M338&gt;0.85,0.2)))</f>
        <v>0</v>
      </c>
      <c r="N341" s="1331">
        <f>IF(N338&lt;=0.65,0,IF(AND(N338&lt;=0.85,N338&gt;0.65),N338-0.65,IF(N338&gt;0.85,0.2)))</f>
        <v>0</v>
      </c>
      <c r="O341" s="437"/>
      <c r="P341" s="429"/>
      <c r="Q341" s="1330">
        <f t="shared" si="65"/>
        <v>0</v>
      </c>
      <c r="R341" s="1330">
        <f t="shared" si="66"/>
        <v>0</v>
      </c>
      <c r="S341" s="1330">
        <f t="shared" si="67"/>
        <v>0</v>
      </c>
      <c r="T341" s="1331">
        <f t="shared" si="68"/>
        <v>0</v>
      </c>
      <c r="U341" s="437"/>
      <c r="V341" s="429"/>
      <c r="W341" s="1330">
        <f>IF(W338&lt;=0.65,0,IF(AND(W338&lt;=0.85,W338&gt;0.65),W338-0.65,IF(W338&gt;0.85,0.2)))</f>
        <v>0</v>
      </c>
      <c r="X341" s="1330">
        <f>IF(X338&lt;=0.65,0,IF(AND(X338&lt;=0.85,X338&gt;0.65),X338-0.65,IF(X338&gt;0.85,0.2)))</f>
        <v>0</v>
      </c>
      <c r="Y341" s="1330">
        <f>IF(Y338&lt;=0.65,0,IF(AND(Y338&lt;=0.85,Y338&gt;0.65),Y338-0.65,IF(Y338&gt;0.85,0.2)))</f>
        <v>0</v>
      </c>
      <c r="Z341" s="1331">
        <f>IF(Z338&lt;=0.65,0,IF(AND(Z338&lt;=0.85,Z338&gt;0.65),Z338-0.65,IF(Z338&gt;0.85,0.2)))</f>
        <v>0</v>
      </c>
      <c r="AA341" s="437"/>
      <c r="AB341" s="429"/>
      <c r="AC341" s="1330">
        <f>-IF(AC338&lt;=0.65,0,IF(AND(AC338&lt;=0.85,AC338&gt;0.65),AC338-0.65,IF(AC338&gt;0.85,0.2)))</f>
        <v>0</v>
      </c>
      <c r="AD341" s="1330">
        <f>-IF(AD338&lt;=0.65,0,IF(AND(AD338&lt;=0.85,AD338&gt;0.65),AD338-0.65,IF(AD338&gt;0.85,0.2)))</f>
        <v>0</v>
      </c>
      <c r="AE341" s="1330">
        <f>-IF(AE338&lt;=0.65,0,IF(AND(AE338&lt;=0.85,AE338&gt;0.65),AE338-0.65,IF(AE338&gt;0.85,0.2)))</f>
        <v>0</v>
      </c>
      <c r="AF341" s="1331">
        <f>-IF(AF338&lt;=0.65,0,IF(AND(AF338&lt;=0.85,AF338&gt;0.65),AF338-0.65,IF(AF338&gt;0.85,0.2)))</f>
        <v>0</v>
      </c>
      <c r="AG341" s="437"/>
      <c r="AH341" s="429"/>
      <c r="AI341" s="354"/>
      <c r="AJ341" s="313"/>
      <c r="AK341" s="313"/>
      <c r="AL341" s="313"/>
      <c r="AM341" s="313"/>
      <c r="AN341" s="313"/>
      <c r="AO341" s="354"/>
      <c r="AP341" s="354"/>
      <c r="AQ341" s="354"/>
      <c r="AR341" s="354"/>
      <c r="AS341" s="354"/>
      <c r="AT341" s="354"/>
      <c r="AU341" s="354"/>
      <c r="AV341" s="355"/>
      <c r="AW341" s="355"/>
      <c r="AX341" s="313"/>
      <c r="AY341" s="313"/>
      <c r="BB341" s="313"/>
      <c r="BC341" s="313"/>
      <c r="BD341" s="313"/>
      <c r="BE341" s="138"/>
      <c r="BF341" s="138"/>
      <c r="BG341" s="138"/>
      <c r="BH341" s="138"/>
      <c r="BI341" s="138"/>
    </row>
    <row r="342" spans="1:61" ht="15" customHeight="1">
      <c r="A342" s="138"/>
      <c r="B342" s="295"/>
      <c r="C342" s="284" t="str">
        <f>IF(Tool!$H$7="Français",G342,IF(Tool!$H$7="Italiano",I342,E342))</f>
        <v>Weitere Informationen finden Sie im ''Info''-Blatt im Menü oben, oder direkt im SNBS-Kriterienbeschrieb.</v>
      </c>
      <c r="D342" s="302"/>
      <c r="E342" s="1618" t="s">
        <v>1653</v>
      </c>
      <c r="F342" s="1634"/>
      <c r="G342" s="1618" t="s">
        <v>1913</v>
      </c>
      <c r="H342" s="302"/>
      <c r="I342" s="319" t="s">
        <v>1650</v>
      </c>
      <c r="J342" s="318"/>
      <c r="K342" s="1332">
        <f>IF(K338&lt;=0.85,0,IF(AND(K338&lt;=1,K338&gt;0.85),K338-0.85,IF(K338&gt;1,0.15)))</f>
        <v>0</v>
      </c>
      <c r="L342" s="1332">
        <f>IF(L338&lt;=0.85,0,IF(AND(L338&lt;=1,L338&gt;0.85),L338-0.85,IF(L338&gt;1,0.15)))</f>
        <v>0</v>
      </c>
      <c r="M342" s="1332">
        <f>IF(M338&lt;=0.85,0,IF(AND(M338&lt;=1,M338&gt;0.85),M338-0.85,IF(M338&gt;1,0.15)))</f>
        <v>0</v>
      </c>
      <c r="N342" s="1333">
        <f>IF(N338&lt;=0.85,0,IF(AND(N338&lt;=1,N338&gt;0.85),N338-0.85,IF(N338&gt;1,0.15)))</f>
        <v>0</v>
      </c>
      <c r="O342" s="442"/>
      <c r="P342" s="38"/>
      <c r="Q342" s="1332">
        <f t="shared" si="65"/>
        <v>0</v>
      </c>
      <c r="R342" s="1332">
        <f t="shared" si="66"/>
        <v>0</v>
      </c>
      <c r="S342" s="1332">
        <f t="shared" si="67"/>
        <v>0</v>
      </c>
      <c r="T342" s="1333">
        <f t="shared" si="68"/>
        <v>0</v>
      </c>
      <c r="U342" s="442"/>
      <c r="V342" s="38"/>
      <c r="W342" s="1332">
        <f>IF(W338&lt;=0.85,0,IF(AND(W338&lt;=1,W338&gt;0.85),W338-0.85,IF(W338&gt;1,0.15)))</f>
        <v>0</v>
      </c>
      <c r="X342" s="1332">
        <f>IF(X338&lt;=0.85,0,IF(AND(X338&lt;=1,X338&gt;0.85),X338-0.85,IF(X338&gt;1,0.15)))</f>
        <v>0</v>
      </c>
      <c r="Y342" s="1332">
        <f>IF(Y338&lt;=0.85,0,IF(AND(Y338&lt;=1,Y338&gt;0.85),Y338-0.85,IF(Y338&gt;1,0.15)))</f>
        <v>0</v>
      </c>
      <c r="Z342" s="1333">
        <f>IF(Z338&lt;=0.85,0,IF(AND(Z338&lt;=1,Z338&gt;0.85),Z338-0.85,IF(Z338&gt;1,0.15)))</f>
        <v>0</v>
      </c>
      <c r="AA342" s="442"/>
      <c r="AB342" s="38"/>
      <c r="AC342" s="1332">
        <f>-IF(AC338&lt;=0.85,0,IF(AND(AC338&lt;=1,AC338&gt;0.85),AC338-0.85,IF(AC338&gt;1,0.15)))</f>
        <v>0</v>
      </c>
      <c r="AD342" s="1332">
        <f>-IF(AD338&lt;=0.85,0,IF(AND(AD338&lt;=1,AD338&gt;0.85),AD338-0.85,IF(AD338&gt;1,0.15)))</f>
        <v>0</v>
      </c>
      <c r="AE342" s="1332">
        <f>-IF(AE338&lt;=0.85,0,IF(AND(AE338&lt;=1,AE338&gt;0.85),AE338-0.85,IF(AE338&gt;1,0.15)))</f>
        <v>0</v>
      </c>
      <c r="AF342" s="1333">
        <f>-IF(AF338&lt;=0.85,0,IF(AND(AF338&lt;=1,AF338&gt;0.85),AF338-0.85,IF(AF338&gt;1,0.15)))</f>
        <v>0</v>
      </c>
      <c r="AG342" s="442"/>
      <c r="AH342" s="38"/>
      <c r="AI342" s="354"/>
      <c r="AJ342" s="313"/>
      <c r="AK342" s="313"/>
      <c r="AL342" s="313"/>
      <c r="AM342" s="313"/>
      <c r="AN342" s="313"/>
      <c r="AO342" s="354"/>
      <c r="AP342" s="354"/>
      <c r="AQ342" s="354"/>
      <c r="AR342" s="354"/>
      <c r="AS342" s="354"/>
      <c r="AT342" s="354"/>
      <c r="AU342" s="354"/>
      <c r="AV342" s="355"/>
      <c r="AW342" s="355"/>
      <c r="AX342" s="313"/>
      <c r="AY342" s="312"/>
      <c r="BB342" s="312"/>
      <c r="BC342" s="312"/>
      <c r="BD342" s="313"/>
      <c r="BE342" s="138"/>
      <c r="BF342" s="138"/>
      <c r="BG342" s="138"/>
      <c r="BH342" s="138"/>
      <c r="BI342" s="138"/>
    </row>
    <row r="343" spans="1:61" ht="15" customHeight="1">
      <c r="A343" s="138"/>
      <c r="B343" s="295"/>
      <c r="C343" s="284" t="str">
        <f>IF(Tool!$H$7="Français",G343,IF(Tool!$H$7="Italiano",I343,E343))</f>
        <v>Kriterium, zu welchem die Frage einen Bezug hat</v>
      </c>
      <c r="D343" s="302"/>
      <c r="E343" s="1618" t="s">
        <v>1600</v>
      </c>
      <c r="F343" s="1634"/>
      <c r="G343" s="1618" t="s">
        <v>1601</v>
      </c>
      <c r="H343" s="302"/>
      <c r="I343" s="319" t="s">
        <v>1602</v>
      </c>
      <c r="J343" s="144"/>
      <c r="K343" s="1330">
        <f>IF(K338=1,0,
IF(K338&gt;=0.85,0.15-K342,
IF(K338&gt;=0.65,0.2-K341,
IF(K338&gt;0.5,0.15-K340,(IF(K338=0.5,0,(IF(K338=0,0.5,
0.5-K339))))))))</f>
        <v>0.5</v>
      </c>
      <c r="L343" s="1330">
        <f t="shared" ref="L343:N343" si="69">IF(L338=1,0,
IF(L338&gt;=0.85,0.15-L342,
IF(L338&gt;=0.65,0.2-L341,
IF(L338&gt;0.5,0.15-L340,(IF(L338=0.5,0,(IF(L338=0,0.5,
0.5-L339))))))))</f>
        <v>0.5</v>
      </c>
      <c r="M343" s="1330">
        <f t="shared" si="69"/>
        <v>0.5</v>
      </c>
      <c r="N343" s="1330">
        <f t="shared" si="69"/>
        <v>0.5</v>
      </c>
      <c r="O343" s="442"/>
      <c r="P343" s="38"/>
      <c r="Q343" s="1330">
        <f t="shared" si="65"/>
        <v>-0.5</v>
      </c>
      <c r="R343" s="1330">
        <f t="shared" si="66"/>
        <v>-0.5</v>
      </c>
      <c r="S343" s="1330">
        <f t="shared" si="66"/>
        <v>-0.5</v>
      </c>
      <c r="T343" s="1330">
        <f t="shared" si="68"/>
        <v>-0.5</v>
      </c>
      <c r="U343" s="442"/>
      <c r="V343" s="38"/>
      <c r="W343" s="1330">
        <f>IF(W338=1,0,
IF(W338&gt;=0.85,0.15-W342,
IF(W338&gt;=0.65,0.2-W341,
IF(W338&gt;0.5,0.15-W340,(IF(W338=0.5,0,(IF(W338=0,0.5,
0.5-W339))))))))</f>
        <v>0.5</v>
      </c>
      <c r="X343" s="1330">
        <f t="shared" ref="X343" si="70">IF(X338=1,0,
IF(X338&gt;=0.85,0.15-X342,
IF(X338&gt;=0.65,0.2-X341,
IF(X338&gt;0.5,0.15-X340,(IF(X338=0.5,0,(IF(X338=0,0.5,
0.5-X339))))))))</f>
        <v>0.5</v>
      </c>
      <c r="Y343" s="1330">
        <f t="shared" ref="Y343" si="71">IF(Y338=1,0,
IF(Y338&gt;=0.85,0.15-Y342,
IF(Y338&gt;=0.65,0.2-Y341,
IF(Y338&gt;0.5,0.15-Y340,(IF(Y338=0.5,0,(IF(Y338=0,0.5,
0.5-Y339))))))))</f>
        <v>0.5</v>
      </c>
      <c r="Z343" s="1330">
        <f t="shared" ref="Z343" si="72">IF(Z338=1,0,
IF(Z338&gt;=0.85,0.15-Z342,
IF(Z338&gt;=0.65,0.2-Z341,
IF(Z338&gt;0.5,0.15-Z340,(IF(Z338=0.5,0,(IF(Z338=0,0.5,
0.5-Z339))))))))</f>
        <v>0.5</v>
      </c>
      <c r="AA343" s="442"/>
      <c r="AB343" s="38"/>
      <c r="AC343" s="1330">
        <f>-IF(AC338=1,0,
IF(AC338&gt;=0.85,0.15+AC342,
IF(AC338&gt;=0.65,0.2+AC341,
IF(AC338&gt;0.5,0.15+AC340,(IF(AC338=0.5,0,(IF(AC338=0,0.5,
0.5+AC339))))))))</f>
        <v>-0.5</v>
      </c>
      <c r="AD343" s="1330">
        <f>-IF(AD338=1,0,
IF(AD338&gt;=0.85,0.15+AD342,
IF(AD338&gt;=0.65,0.2+AD341,
IF(AD338&gt;0.5,0.15+AD340,(IF(AD338=0.5,0,(IF(AD338=0,0.5,
0.5+AD339))))))))</f>
        <v>-0.5</v>
      </c>
      <c r="AE343" s="1330">
        <f t="shared" ref="AE343" si="73">-IF(AE338=1,0,
IF(AE338&gt;=0.85,0.15+AE342,
IF(AE338&gt;=0.65,0.2+AE341,
IF(AE338&gt;0.5,0.15+AE340,(IF(AE338=0.5,0,(IF(AE338=0,0.5,
0.5+AE339))))))))</f>
        <v>-0.5</v>
      </c>
      <c r="AF343" s="1330">
        <f>-IF(AF338=1,0,
IF(AF338&gt;=0.85,0.15+AF342,
IF(AF338&gt;=0.65,0.2+AF341,
IF(AF338&gt;0.5,0.15+AF340,(IF(AF338=0.5,0,(IF(AF338=0,0.5,
0.5+AF339))))))))</f>
        <v>-0.5</v>
      </c>
      <c r="AG343" s="442"/>
      <c r="AH343" s="38"/>
      <c r="AI343" s="354"/>
      <c r="AJ343" s="313"/>
      <c r="AK343" s="313"/>
      <c r="AL343" s="313"/>
      <c r="AM343" s="313"/>
      <c r="AN343" s="313"/>
      <c r="AO343" s="354"/>
      <c r="AP343" s="354"/>
      <c r="AQ343" s="354"/>
      <c r="AR343" s="354"/>
      <c r="AS343" s="354"/>
      <c r="AT343" s="354"/>
      <c r="AU343" s="354"/>
      <c r="AV343" s="355"/>
      <c r="AW343" s="355"/>
      <c r="AX343" s="313"/>
      <c r="AY343" s="313"/>
      <c r="BB343" s="313"/>
      <c r="BC343" s="313"/>
      <c r="BD343" s="313"/>
      <c r="BE343" s="138"/>
      <c r="BF343" s="138"/>
      <c r="BG343" s="138"/>
      <c r="BH343" s="138"/>
      <c r="BI343" s="138"/>
    </row>
    <row r="344" spans="1:61" ht="15" customHeight="1">
      <c r="A344" s="138"/>
      <c r="B344" s="295"/>
      <c r="C344" s="284" t="str">
        <f>IF(Tool!$H$7="Français",G344,IF(Tool!$H$7="Italiano",I344,E344))</f>
        <v>Falls nötig, [nummerierter] Verweis auf ''Info''</v>
      </c>
      <c r="D344" s="302"/>
      <c r="E344" s="1618" t="s">
        <v>1652</v>
      </c>
      <c r="F344" s="1669"/>
      <c r="G344" s="1618" t="s">
        <v>1971</v>
      </c>
      <c r="H344" s="369"/>
      <c r="I344" s="319" t="s">
        <v>1872</v>
      </c>
      <c r="J344" s="317"/>
      <c r="K344" s="1330">
        <f>IF(K338&lt;=0.5,0.15,0)</f>
        <v>0.15</v>
      </c>
      <c r="L344" s="1330">
        <f>IF(L338&lt;=0.5,0.15,0)</f>
        <v>0.15</v>
      </c>
      <c r="M344" s="1330">
        <f>IF(M338&lt;=0.5,0.15,0)</f>
        <v>0.15</v>
      </c>
      <c r="N344" s="1330">
        <f>IF(N338&lt;=0.5,0.15,0)</f>
        <v>0.15</v>
      </c>
      <c r="O344" s="442"/>
      <c r="P344" s="38"/>
      <c r="Q344" s="1330">
        <f t="shared" si="65"/>
        <v>-0.15</v>
      </c>
      <c r="R344" s="1330">
        <f t="shared" si="66"/>
        <v>-0.15</v>
      </c>
      <c r="S344" s="1330">
        <f t="shared" si="66"/>
        <v>-0.15</v>
      </c>
      <c r="T344" s="1330">
        <f t="shared" si="68"/>
        <v>-0.15</v>
      </c>
      <c r="U344" s="442"/>
      <c r="V344" s="38"/>
      <c r="W344" s="1330">
        <f>IF(W338&lt;=0.5,0.15,0)</f>
        <v>0.15</v>
      </c>
      <c r="X344" s="1330">
        <f>IF(X338&lt;=0.5,0.15,0)</f>
        <v>0.15</v>
      </c>
      <c r="Y344" s="1330">
        <f>IF(Y338&lt;=0.5,0.15,0)</f>
        <v>0.15</v>
      </c>
      <c r="Z344" s="1330">
        <f>IF(Z338&lt;=0.5,0.15,0)</f>
        <v>0.15</v>
      </c>
      <c r="AA344" s="442"/>
      <c r="AB344" s="38"/>
      <c r="AC344" s="1330">
        <f>-IF(AC338&lt;=0.5,0.15,0)</f>
        <v>-0.15</v>
      </c>
      <c r="AD344" s="1330">
        <f>-IF(AD338&lt;=0.5,0.15,0)</f>
        <v>-0.15</v>
      </c>
      <c r="AE344" s="1330">
        <f t="shared" ref="AE344:AF344" si="74">-IF(AE338&lt;=0.5,0.15,0)</f>
        <v>-0.15</v>
      </c>
      <c r="AF344" s="1330">
        <f t="shared" si="74"/>
        <v>-0.15</v>
      </c>
      <c r="AG344" s="442"/>
      <c r="AH344" s="38"/>
      <c r="AI344" s="354"/>
      <c r="AJ344" s="313"/>
      <c r="AK344" s="313"/>
      <c r="AL344" s="313"/>
      <c r="AM344" s="313"/>
      <c r="AN344" s="313"/>
      <c r="AO344" s="354"/>
      <c r="AP344" s="354"/>
      <c r="AQ344" s="354"/>
      <c r="AR344" s="354"/>
      <c r="AS344" s="354"/>
      <c r="AT344" s="354"/>
      <c r="AU344" s="354"/>
      <c r="AV344" s="353"/>
      <c r="AW344" s="355"/>
      <c r="AX344" s="313"/>
      <c r="AY344" s="313"/>
      <c r="BB344" s="313"/>
      <c r="BC344" s="313"/>
      <c r="BD344" s="313"/>
      <c r="BE344" s="138"/>
      <c r="BF344" s="138"/>
      <c r="BG344" s="138"/>
      <c r="BH344" s="138"/>
      <c r="BI344" s="138"/>
    </row>
    <row r="345" spans="1:61" ht="15" customHeight="1">
      <c r="A345" s="138"/>
      <c r="B345" s="297"/>
      <c r="C345" s="284">
        <f>IF(Tool!$H$7="Français",G345,IF(Tool!$H$7="Italiano",I345,E345))</f>
        <v>0</v>
      </c>
      <c r="D345" s="303"/>
      <c r="E345" s="1619"/>
      <c r="F345" s="1641"/>
      <c r="G345" s="1619"/>
      <c r="H345" s="303"/>
      <c r="I345" s="320"/>
      <c r="J345" s="144"/>
      <c r="K345" s="1330">
        <f>IF(K338&lt;=0.65,0.2,0)</f>
        <v>0.2</v>
      </c>
      <c r="L345" s="1330">
        <f>IF(L338&lt;=0.65,0.2,0)</f>
        <v>0.2</v>
      </c>
      <c r="M345" s="1330">
        <f>IF(M338&lt;=0.65,0.2,0)</f>
        <v>0.2</v>
      </c>
      <c r="N345" s="1330">
        <f>IF(N338&lt;=0.65,0.2,0)</f>
        <v>0.2</v>
      </c>
      <c r="O345" s="442"/>
      <c r="P345" s="38"/>
      <c r="Q345" s="1330">
        <f t="shared" si="65"/>
        <v>-0.2</v>
      </c>
      <c r="R345" s="1330">
        <f t="shared" si="66"/>
        <v>-0.2</v>
      </c>
      <c r="S345" s="1330">
        <f t="shared" si="66"/>
        <v>-0.2</v>
      </c>
      <c r="T345" s="1330">
        <f t="shared" si="68"/>
        <v>-0.2</v>
      </c>
      <c r="U345" s="442"/>
      <c r="V345" s="38"/>
      <c r="W345" s="1330">
        <f>IF(W338&lt;=0.65,0.2,0)</f>
        <v>0.2</v>
      </c>
      <c r="X345" s="1330">
        <f>IF(X338&lt;=0.65,0.2,0)</f>
        <v>0.2</v>
      </c>
      <c r="Y345" s="1330">
        <f>IF(Y338&lt;=0.65,0.2,0)</f>
        <v>0.2</v>
      </c>
      <c r="Z345" s="1330">
        <f>IF(Z338&lt;=0.65,0.2,0)</f>
        <v>0.2</v>
      </c>
      <c r="AA345" s="442"/>
      <c r="AB345" s="38"/>
      <c r="AC345" s="1330">
        <f>-IF(AC338&lt;=0.65,0.2,0)</f>
        <v>-0.2</v>
      </c>
      <c r="AD345" s="1330">
        <f>-IF(AD338&lt;=0.65,0.2,0)</f>
        <v>-0.2</v>
      </c>
      <c r="AE345" s="1330">
        <f t="shared" ref="AE345:AF345" si="75">-IF(AE338&lt;=0.65,0.2,0)</f>
        <v>-0.2</v>
      </c>
      <c r="AF345" s="1330">
        <f t="shared" si="75"/>
        <v>-0.2</v>
      </c>
      <c r="AG345" s="442"/>
      <c r="AH345" s="38"/>
      <c r="AI345" s="354"/>
      <c r="AJ345" s="313"/>
      <c r="AK345" s="313"/>
      <c r="AL345" s="313"/>
      <c r="AM345" s="313"/>
      <c r="AN345" s="313"/>
      <c r="AO345" s="354"/>
      <c r="AP345" s="354"/>
      <c r="AQ345" s="354"/>
      <c r="AR345" s="354"/>
      <c r="AS345" s="354"/>
      <c r="AT345" s="354"/>
      <c r="AU345" s="354"/>
      <c r="AV345" s="355"/>
      <c r="AW345" s="353"/>
      <c r="AX345" s="313"/>
      <c r="AY345" s="313"/>
      <c r="BB345" s="313"/>
      <c r="BC345" s="313"/>
      <c r="BD345" s="313"/>
      <c r="BE345" s="138"/>
      <c r="BF345" s="138"/>
      <c r="BG345" s="138"/>
      <c r="BH345" s="138"/>
      <c r="BI345" s="138"/>
    </row>
    <row r="346" spans="1:61" ht="15" customHeight="1">
      <c r="A346" s="138"/>
      <c r="B346" s="307" t="s">
        <v>79</v>
      </c>
      <c r="C346" s="869" t="str">
        <f>IF(Tool!$H$7="Français",G346,IF(Tool!$H$7="Italiano",I346,E346))</f>
        <v>''Pre-Check SNBS 2023.1 Hochbau'' und der Fragenkatalog (Blatt ''Check'')</v>
      </c>
      <c r="D346" s="913" t="s">
        <v>79</v>
      </c>
      <c r="E346" s="1630" t="str">
        <f>"''"&amp;E312&amp;"'' und der Fragenkatalog (Blatt ''Check'')"</f>
        <v>''Pre-Check SNBS 2023.1 Hochbau'' und der Fragenkatalog (Blatt ''Check'')</v>
      </c>
      <c r="F346" s="1631" t="s">
        <v>79</v>
      </c>
      <c r="G346" s="1632" t="str">
        <f>"''"&amp;G312&amp;"'' et le questionnaire (Feuille ''Check'')"</f>
        <v>''Pre-Check SNBS 2023.1 Bâtiment'' et le questionnaire (Feuille ''Check'')</v>
      </c>
      <c r="H346" s="913"/>
      <c r="I346" s="294" t="str">
        <f>"''"&amp;I312&amp;"'' e il catalogo delle domande (scheda ''Check'')"</f>
        <v>''Pre-Check SNBS 2023.1 Edificio'' e il catalogo delle domande (scheda ''Check'')</v>
      </c>
      <c r="J346" s="318"/>
      <c r="K346" s="1332">
        <f>IF(K338&lt;=0.85,0.15,0)</f>
        <v>0.15</v>
      </c>
      <c r="L346" s="1332">
        <f>IF(L338&lt;=0.85,0.15,0)</f>
        <v>0.15</v>
      </c>
      <c r="M346" s="1332">
        <f>IF(M338&lt;=0.85,0.15,0)</f>
        <v>0.15</v>
      </c>
      <c r="N346" s="1332">
        <f>IF(N338&lt;=0.85,0.15,0)</f>
        <v>0.15</v>
      </c>
      <c r="O346" s="443"/>
      <c r="P346" s="444"/>
      <c r="Q346" s="1332">
        <f t="shared" si="65"/>
        <v>-0.15</v>
      </c>
      <c r="R346" s="1332">
        <f t="shared" si="66"/>
        <v>-0.15</v>
      </c>
      <c r="S346" s="1332">
        <f t="shared" si="66"/>
        <v>-0.15</v>
      </c>
      <c r="T346" s="1332">
        <f t="shared" si="68"/>
        <v>-0.15</v>
      </c>
      <c r="U346" s="443"/>
      <c r="V346" s="444"/>
      <c r="W346" s="1332">
        <f>IF(W338&lt;=0.85,0.15,0)</f>
        <v>0.15</v>
      </c>
      <c r="X346" s="1332">
        <f>IF(X338&lt;=0.85,0.15,0)</f>
        <v>0.15</v>
      </c>
      <c r="Y346" s="1332">
        <f>IF(Y338&lt;=0.85,0.15,0)</f>
        <v>0.15</v>
      </c>
      <c r="Z346" s="1332">
        <f>IF(Z338&lt;=0.85,0.15,0)</f>
        <v>0.15</v>
      </c>
      <c r="AA346" s="443"/>
      <c r="AB346" s="444"/>
      <c r="AC346" s="1332">
        <f>-IF(AC338&lt;=0.85,0.15,0)</f>
        <v>-0.15</v>
      </c>
      <c r="AD346" s="1332">
        <f>-IF(AD338&lt;=0.85,0.15,0)</f>
        <v>-0.15</v>
      </c>
      <c r="AE346" s="1332">
        <f t="shared" ref="AE346:AF346" si="76">-IF(AE338&lt;=0.85,0.15,0)</f>
        <v>-0.15</v>
      </c>
      <c r="AF346" s="1332">
        <f t="shared" si="76"/>
        <v>-0.15</v>
      </c>
      <c r="AG346" s="443"/>
      <c r="AH346" s="444"/>
      <c r="AI346" s="138"/>
      <c r="AJ346" s="313"/>
      <c r="AK346" s="313"/>
      <c r="AL346" s="313"/>
      <c r="AM346" s="313"/>
      <c r="AN346" s="313"/>
      <c r="AO346" s="354"/>
      <c r="AP346" s="354"/>
      <c r="AQ346" s="354"/>
      <c r="AR346" s="354"/>
      <c r="AS346" s="354"/>
      <c r="AT346" s="354"/>
      <c r="AU346" s="354"/>
      <c r="AV346" s="355"/>
      <c r="AW346" s="355"/>
      <c r="AX346" s="313"/>
      <c r="AY346" s="313"/>
      <c r="BB346" s="313"/>
      <c r="BC346" s="313"/>
      <c r="BD346" s="313"/>
      <c r="BE346" s="138"/>
      <c r="BF346" s="138"/>
      <c r="BG346" s="138"/>
      <c r="BH346" s="138"/>
      <c r="BI346" s="138"/>
    </row>
    <row r="347" spans="1:61" ht="15" customHeight="1">
      <c r="A347" s="312"/>
      <c r="B347" s="295"/>
      <c r="C347" s="284" t="str">
        <f>IF(Tool!$H$7="Français",G347,IF(Tool!$H$7="Italiano",I347,E347))</f>
        <v xml:space="preserve">Während der Beantwortung der Fragen wird eine vollständige Übersicht der Kriterien im oberen Bereich des Ansichtsfensters dargestellt und laufend aktualisiert. Sie kann mit den Navigationshilfen oben ein- und ausgeblendet werden.
</v>
      </c>
      <c r="D347" s="302"/>
      <c r="E347" s="1633" t="s">
        <v>1988</v>
      </c>
      <c r="F347" s="1634"/>
      <c r="G347" s="1635" t="s">
        <v>1989</v>
      </c>
      <c r="H347" s="302"/>
      <c r="I347" s="319" t="s">
        <v>1990</v>
      </c>
      <c r="J347" s="318"/>
      <c r="K347" s="752" t="s">
        <v>441</v>
      </c>
      <c r="L347" s="884"/>
      <c r="M347" s="884"/>
      <c r="N347" s="884"/>
      <c r="O347" s="884"/>
      <c r="P347" s="885"/>
      <c r="Q347" s="752" t="s">
        <v>441</v>
      </c>
      <c r="R347" s="884"/>
      <c r="S347" s="884"/>
      <c r="T347" s="884"/>
      <c r="U347" s="884"/>
      <c r="V347" s="885"/>
      <c r="W347" s="752" t="s">
        <v>1477</v>
      </c>
      <c r="X347" s="884"/>
      <c r="Y347" s="884"/>
      <c r="Z347" s="884"/>
      <c r="AA347" s="884"/>
      <c r="AB347" s="885"/>
      <c r="AC347" s="752" t="s">
        <v>441</v>
      </c>
      <c r="AD347" s="884"/>
      <c r="AE347" s="884"/>
      <c r="AF347" s="884"/>
      <c r="AG347" s="884"/>
      <c r="AH347" s="885"/>
      <c r="AI347" s="138"/>
      <c r="AJ347" s="313"/>
      <c r="AK347" s="313"/>
      <c r="AL347" s="313"/>
      <c r="AM347" s="313"/>
      <c r="AN347" s="313"/>
      <c r="AO347" s="354"/>
      <c r="AP347" s="354"/>
      <c r="AQ347" s="354"/>
      <c r="AR347" s="354"/>
      <c r="AS347" s="354"/>
      <c r="AT347" s="354"/>
      <c r="AU347" s="354"/>
      <c r="AV347" s="355"/>
      <c r="AW347" s="355"/>
      <c r="AX347" s="312"/>
      <c r="AY347" s="313"/>
      <c r="BB347" s="313"/>
      <c r="BC347" s="313"/>
      <c r="BD347" s="313"/>
      <c r="BE347" s="138"/>
      <c r="BF347" s="138"/>
      <c r="BG347" s="138"/>
      <c r="BH347" s="138"/>
      <c r="BI347" s="138"/>
    </row>
    <row r="348" spans="1:61" ht="15" customHeight="1">
      <c r="A348" s="313"/>
      <c r="B348" s="295"/>
      <c r="C348" s="284" t="str">
        <f>IF(Tool!$H$7="Français",G348,IF(Tool!$H$7="Italiano",I348,E348))</f>
        <v>Bitte Antwort auswählen</v>
      </c>
      <c r="D348" s="302"/>
      <c r="E348" s="1633" t="s">
        <v>228</v>
      </c>
      <c r="F348" s="1634"/>
      <c r="G348" s="1618" t="s">
        <v>140</v>
      </c>
      <c r="H348" s="302"/>
      <c r="I348" s="319" t="s">
        <v>1121</v>
      </c>
      <c r="J348" s="318"/>
      <c r="K348" s="826" t="str">
        <f>AL44</f>
        <v>Regionalökonomie</v>
      </c>
      <c r="L348" s="827" t="str">
        <f>AL41</f>
        <v>Nutzbarkeit</v>
      </c>
      <c r="M348" s="827" t="str">
        <f>AL38</f>
        <v>Lebenszyklus</v>
      </c>
      <c r="N348" s="828"/>
      <c r="O348" s="440"/>
      <c r="P348" s="441"/>
      <c r="Q348" s="826" t="str">
        <f>AR44</f>
        <v>Regionale Wertschöpfung</v>
      </c>
      <c r="R348" s="827" t="str">
        <f>AR41</f>
        <v>Naturgefahren</v>
      </c>
      <c r="S348" s="827" t="str">
        <f>AR38</f>
        <v>Lebenszykluskosten</v>
      </c>
      <c r="T348" s="828"/>
      <c r="U348" s="440"/>
      <c r="V348" s="441"/>
      <c r="W348" s="826" t="str">
        <f>AL44</f>
        <v>Regionalökonomie</v>
      </c>
      <c r="X348" s="827" t="str">
        <f>AL41</f>
        <v>Nutzbarkeit</v>
      </c>
      <c r="Y348" s="827" t="str">
        <f>AL38</f>
        <v>Lebenszyklus</v>
      </c>
      <c r="Z348" s="828"/>
      <c r="AA348" s="440"/>
      <c r="AB348" s="441"/>
      <c r="AC348" s="826" t="str">
        <f>AR44</f>
        <v>Regionale Wertschöpfung</v>
      </c>
      <c r="AD348" s="827" t="str">
        <f>AR41</f>
        <v>Naturgefahren</v>
      </c>
      <c r="AE348" s="827" t="str">
        <f>AR38</f>
        <v>Lebenszykluskosten</v>
      </c>
      <c r="AF348" s="828"/>
      <c r="AG348" s="440"/>
      <c r="AH348" s="441"/>
      <c r="AI348" s="138"/>
      <c r="AJ348" s="313"/>
      <c r="AK348" s="313"/>
      <c r="AL348" s="313"/>
      <c r="AM348" s="313"/>
      <c r="AN348" s="313"/>
      <c r="AO348" s="354"/>
      <c r="AP348" s="354"/>
      <c r="AQ348" s="354"/>
      <c r="AR348" s="354"/>
      <c r="AS348" s="354"/>
      <c r="AT348" s="354"/>
      <c r="AU348" s="354"/>
      <c r="AV348" s="355"/>
      <c r="AW348" s="355"/>
      <c r="AX348" s="313"/>
      <c r="AY348" s="313"/>
      <c r="BB348" s="313"/>
      <c r="BC348" s="313"/>
      <c r="BD348" s="313"/>
      <c r="BE348" s="138"/>
      <c r="BF348" s="138"/>
      <c r="BG348" s="138"/>
      <c r="BH348" s="138"/>
      <c r="BI348" s="138"/>
    </row>
    <row r="349" spans="1:61" ht="15" customHeight="1">
      <c r="A349" s="313"/>
      <c r="B349" s="295"/>
      <c r="C349" s="284" t="str">
        <f>IF(Tool!$H$7="Français",G349,IF(Tool!$H$7="Italiano",I349,E349))</f>
        <v>Wird die Kriterienbeschriftung grün, durchgestrichen und in Fettschrift abgebildet, stellt das Kriterium auf dem Weg zu einem gesamtheitlich nachhaltigen Projekt höchstwahrscheinlich kein Problem dar.</v>
      </c>
      <c r="D349" s="302"/>
      <c r="E349" s="1633" t="s">
        <v>2008</v>
      </c>
      <c r="F349" s="1634"/>
      <c r="G349" s="1618" t="s">
        <v>1991</v>
      </c>
      <c r="H349" s="302"/>
      <c r="I349" s="319" t="s">
        <v>2013</v>
      </c>
      <c r="J349" s="318"/>
      <c r="K349" s="829">
        <f>Q323</f>
        <v>0</v>
      </c>
      <c r="L349" s="830">
        <f>Q322</f>
        <v>0</v>
      </c>
      <c r="M349" s="830">
        <f>Q321</f>
        <v>0</v>
      </c>
      <c r="N349" s="605"/>
      <c r="O349" s="442"/>
      <c r="P349" s="38"/>
      <c r="Q349" s="829">
        <f>-K349</f>
        <v>0</v>
      </c>
      <c r="R349" s="830">
        <f t="shared" ref="R349:R357" si="77">-L349</f>
        <v>0</v>
      </c>
      <c r="S349" s="830">
        <f t="shared" ref="S349:S357" si="78">-M349</f>
        <v>0</v>
      </c>
      <c r="T349" s="605"/>
      <c r="U349" s="442"/>
      <c r="V349" s="38"/>
      <c r="W349" s="829">
        <f>R323</f>
        <v>0</v>
      </c>
      <c r="X349" s="830">
        <f>R322</f>
        <v>0</v>
      </c>
      <c r="Y349" s="830">
        <f>R321</f>
        <v>0</v>
      </c>
      <c r="Z349" s="605"/>
      <c r="AA349" s="442"/>
      <c r="AB349" s="38"/>
      <c r="AC349" s="829">
        <f>U323</f>
        <v>0</v>
      </c>
      <c r="AD349" s="830">
        <f>U322</f>
        <v>0</v>
      </c>
      <c r="AE349" s="830">
        <f>U321</f>
        <v>0</v>
      </c>
      <c r="AF349" s="605"/>
      <c r="AG349" s="442"/>
      <c r="AH349" s="38"/>
      <c r="AI349" s="138"/>
      <c r="AJ349" s="313"/>
      <c r="AK349" s="313"/>
      <c r="AL349" s="313"/>
      <c r="AM349" s="313"/>
      <c r="AN349" s="313"/>
      <c r="AO349" s="354"/>
      <c r="AP349" s="354"/>
      <c r="AQ349" s="354"/>
      <c r="AR349" s="354"/>
      <c r="AS349" s="354"/>
      <c r="AT349" s="354"/>
      <c r="AU349" s="354"/>
      <c r="AV349" s="355"/>
      <c r="AW349" s="355"/>
      <c r="AX349" s="313"/>
      <c r="AY349" s="313"/>
      <c r="BB349" s="313"/>
      <c r="BC349" s="313"/>
      <c r="BD349" s="313"/>
      <c r="BE349" s="138"/>
      <c r="BF349" s="138"/>
      <c r="BG349" s="138"/>
      <c r="BH349" s="138"/>
      <c r="BI349" s="138"/>
    </row>
    <row r="350" spans="1:61" ht="15" customHeight="1">
      <c r="A350" s="313"/>
      <c r="B350" s="295"/>
      <c r="C350" s="284" t="str">
        <f>IF(Tool!$H$7="Français",G350,IF(Tool!$H$7="Italiano",I350,E350))</f>
        <v xml:space="preserve">Wird die Indikatorbeschriftung rot, umrahmt und in Fettschrift abgebildet, stellt das Kriterium auf dem Weg zu einem gesamtheitlich nachhaltigen Projekt wahrscheinlich einen Stolperstein dar. </v>
      </c>
      <c r="D350" s="302"/>
      <c r="E350" s="1633" t="s">
        <v>2009</v>
      </c>
      <c r="F350" s="1634"/>
      <c r="G350" s="1618" t="s">
        <v>2007</v>
      </c>
      <c r="H350" s="302"/>
      <c r="I350" s="319" t="s">
        <v>2014</v>
      </c>
      <c r="J350" s="356"/>
      <c r="K350" s="1326">
        <f>IF(K349&lt;=0.5,K349,IF(K349&gt;0.5,0.5))</f>
        <v>0</v>
      </c>
      <c r="L350" s="1326">
        <f>IF(L349&lt;=0.5,L349,IF(L349&gt;0.5,0.5))</f>
        <v>0</v>
      </c>
      <c r="M350" s="1326">
        <f>IF(M349&lt;=0.5,M349,IF(M349&gt;0.5,0.5))</f>
        <v>0</v>
      </c>
      <c r="N350" s="606"/>
      <c r="O350" s="437"/>
      <c r="P350" s="429"/>
      <c r="Q350" s="1325">
        <f t="shared" ref="Q350:Q357" si="79">-K350</f>
        <v>0</v>
      </c>
      <c r="R350" s="1325">
        <f t="shared" si="77"/>
        <v>0</v>
      </c>
      <c r="S350" s="1325">
        <f t="shared" si="78"/>
        <v>0</v>
      </c>
      <c r="T350" s="606"/>
      <c r="U350" s="437"/>
      <c r="V350" s="429"/>
      <c r="W350" s="1326">
        <f>IF(W349&lt;=0.5,W349,IF(W349&gt;0.5,0.5))</f>
        <v>0</v>
      </c>
      <c r="X350" s="1326">
        <f>IF(X349&lt;=0.5,X349,IF(X349&gt;0.5,0.5))</f>
        <v>0</v>
      </c>
      <c r="Y350" s="1326">
        <f>IF(Y349&lt;=0.5,Y349,IF(Y349&gt;0.5,0.5))</f>
        <v>0</v>
      </c>
      <c r="Z350" s="606"/>
      <c r="AA350" s="437"/>
      <c r="AB350" s="429"/>
      <c r="AC350" s="1326">
        <f>IF(AC349&lt;=0.5,AC349,IF(AC349&gt;0.5,0.5))</f>
        <v>0</v>
      </c>
      <c r="AD350" s="1326">
        <f>-IF(AD349&lt;=0.5,AD349,IF(AD349&gt;0.5,0.5))</f>
        <v>0</v>
      </c>
      <c r="AE350" s="1326">
        <f>-IF(AE349&lt;=0.5,AE349,IF(AE349&gt;0.5,0.5))</f>
        <v>0</v>
      </c>
      <c r="AF350" s="606"/>
      <c r="AG350" s="437"/>
      <c r="AH350" s="429"/>
      <c r="AI350" s="138"/>
      <c r="AJ350" s="313"/>
      <c r="AK350" s="313"/>
      <c r="AL350" s="313"/>
      <c r="AM350" s="313"/>
      <c r="AN350" s="313"/>
      <c r="AO350" s="354"/>
      <c r="AP350" s="354"/>
      <c r="AQ350" s="354"/>
      <c r="AR350" s="354"/>
      <c r="AS350" s="354"/>
      <c r="AT350" s="354"/>
      <c r="AU350" s="354"/>
      <c r="AV350" s="355"/>
      <c r="AW350" s="355"/>
      <c r="AX350" s="313"/>
      <c r="AY350" s="313"/>
      <c r="BB350" s="313"/>
      <c r="BC350" s="313"/>
      <c r="BD350" s="313"/>
      <c r="BE350" s="138"/>
      <c r="BF350" s="138"/>
      <c r="BG350" s="138"/>
      <c r="BH350" s="138"/>
      <c r="BI350" s="138"/>
    </row>
    <row r="351" spans="1:61" ht="15" customHeight="1">
      <c r="A351" s="313"/>
      <c r="B351" s="295"/>
      <c r="C351" s="284" t="str">
        <f>IF(Tool!$H$7="Français",G351,IF(Tool!$H$7="Italiano",I351,E351))</f>
        <v>Die Kriterien werden entsprechend der Bewertung wie folgt angezeigt:</v>
      </c>
      <c r="D351" s="302"/>
      <c r="E351" s="1633" t="s">
        <v>1992</v>
      </c>
      <c r="F351" s="1634"/>
      <c r="G351" s="1618" t="s">
        <v>1993</v>
      </c>
      <c r="H351" s="302"/>
      <c r="I351" s="319" t="s">
        <v>1994</v>
      </c>
      <c r="J351" s="357"/>
      <c r="K351" s="1326">
        <f>IF(K349&lt;=0.5,0,IF(AND(K349&lt;=0.65,K349&gt;0.5),K349-0.5,IF(K349&gt;0.65,0.15)))</f>
        <v>0</v>
      </c>
      <c r="L351" s="1326">
        <f>IF(L349&lt;=0.5,0,IF(AND(L349&lt;=0.65,L349&gt;0.5),L349-0.5,IF(L349&gt;0.65,0.15)))</f>
        <v>0</v>
      </c>
      <c r="M351" s="1326">
        <f>IF(M349&lt;=0.5,0,IF(AND(M349&lt;=0.65,M349&gt;0.5),M349-0.5,IF(M349&gt;0.65,0.15)))</f>
        <v>0</v>
      </c>
      <c r="N351" s="607"/>
      <c r="O351" s="437"/>
      <c r="P351" s="429"/>
      <c r="Q351" s="1326">
        <f t="shared" si="79"/>
        <v>0</v>
      </c>
      <c r="R351" s="1326">
        <f t="shared" si="77"/>
        <v>0</v>
      </c>
      <c r="S351" s="1326">
        <f t="shared" si="78"/>
        <v>0</v>
      </c>
      <c r="T351" s="607"/>
      <c r="U351" s="437"/>
      <c r="V351" s="429"/>
      <c r="W351" s="1326">
        <f>IF(W349&lt;=0.5,0,IF(AND(W349&lt;=0.65,W349&gt;0.5),W349-0.5,IF(W349&gt;0.65,0.15)))</f>
        <v>0</v>
      </c>
      <c r="X351" s="1326">
        <f>IF(X349&lt;=0.5,0,IF(AND(X349&lt;=0.65,X349&gt;0.5),X349-0.5,IF(X349&gt;0.65,0.15)))</f>
        <v>0</v>
      </c>
      <c r="Y351" s="1326">
        <f>IF(Y349&lt;=0.5,0,IF(AND(Y349&lt;=0.65,Y349&gt;0.5),Y349-0.5,IF(Y349&gt;0.65,0.15)))</f>
        <v>0</v>
      </c>
      <c r="Z351" s="607"/>
      <c r="AA351" s="437"/>
      <c r="AB351" s="429"/>
      <c r="AC351" s="1326">
        <f>IF(AC349&lt;=0.5,0,IF(AND(AC349&lt;=0.65,AC349&gt;0.5),AC349-0.5,IF(AC349&gt;0.65,0.15)))</f>
        <v>0</v>
      </c>
      <c r="AD351" s="1326">
        <f>-IF(AD349&lt;=0.5,0,IF(AND(AD349&lt;=0.65,AD349&gt;0.5),AD349-0.5,IF(AD349&gt;0.65,0.15)))</f>
        <v>0</v>
      </c>
      <c r="AE351" s="1326">
        <f>-IF(AE349&lt;=0.5,0,IF(AND(AE349&lt;=0.65,AE349&gt;0.5),AE349-0.5,IF(AE349&gt;0.65,0.15)))</f>
        <v>0</v>
      </c>
      <c r="AF351" s="607"/>
      <c r="AG351" s="437"/>
      <c r="AH351" s="429"/>
      <c r="AI351" s="138"/>
      <c r="AJ351" s="313"/>
      <c r="AK351" s="313"/>
      <c r="AL351" s="313"/>
      <c r="AM351" s="313"/>
      <c r="AN351" s="313"/>
      <c r="AO351" s="354"/>
      <c r="AP351" s="354"/>
      <c r="AQ351" s="354"/>
      <c r="AR351" s="354"/>
      <c r="AS351" s="354"/>
      <c r="AT351" s="354"/>
      <c r="AU351" s="354"/>
      <c r="AV351" s="355"/>
      <c r="AW351" s="355"/>
      <c r="AX351" s="313"/>
      <c r="AY351" s="313"/>
      <c r="BB351" s="313"/>
      <c r="BC351" s="313"/>
      <c r="BD351" s="313"/>
      <c r="BE351" s="138"/>
      <c r="BF351" s="138"/>
      <c r="BG351" s="138"/>
      <c r="BH351" s="138"/>
      <c r="BI351" s="138"/>
    </row>
    <row r="352" spans="1:61" ht="15" customHeight="1">
      <c r="A352" s="313"/>
      <c r="B352" s="295"/>
      <c r="C352" s="284" t="str">
        <f>IF(Tool!$H$7="Français",G352,IF(Tool!$H$7="Italiano",I352,E352))</f>
        <v>Das Kriterium ändert sich nicht, zur Bewertung des Kriteriums sind zusätzliche Fragen erforderlich.</v>
      </c>
      <c r="D352" s="302"/>
      <c r="E352" s="1633" t="s">
        <v>1605</v>
      </c>
      <c r="F352" s="1634"/>
      <c r="G352" s="1633" t="s">
        <v>1606</v>
      </c>
      <c r="H352" s="302"/>
      <c r="I352" s="320" t="s">
        <v>1607</v>
      </c>
      <c r="J352" s="318"/>
      <c r="K352" s="1326">
        <f>IF(K349&lt;=0.65,0,IF(AND(K349&lt;=0.85,K349&gt;0.65),K349-0.65,IF(K349&gt;0.85,0.2)))</f>
        <v>0</v>
      </c>
      <c r="L352" s="1326">
        <f>IF(L349&lt;=0.65,0,IF(AND(L349&lt;=0.85,L349&gt;0.65),L349-0.65,IF(L349&gt;0.85,0.2)))</f>
        <v>0</v>
      </c>
      <c r="M352" s="1326">
        <f>IF(M349&lt;=0.65,0,IF(AND(M349&lt;=0.85,M349&gt;0.65),M349-0.65,IF(M349&gt;0.85,0.2)))</f>
        <v>0</v>
      </c>
      <c r="N352" s="607"/>
      <c r="O352" s="437"/>
      <c r="P352" s="429"/>
      <c r="Q352" s="1326">
        <f t="shared" si="79"/>
        <v>0</v>
      </c>
      <c r="R352" s="1326">
        <f t="shared" si="77"/>
        <v>0</v>
      </c>
      <c r="S352" s="1326">
        <f t="shared" si="78"/>
        <v>0</v>
      </c>
      <c r="T352" s="607"/>
      <c r="U352" s="437"/>
      <c r="V352" s="429"/>
      <c r="W352" s="1326">
        <f>IF(W349&lt;=0.65,0,IF(AND(W349&lt;=0.85,W349&gt;0.65),W349-0.65,IF(W349&gt;0.85,0.2)))</f>
        <v>0</v>
      </c>
      <c r="X352" s="1326">
        <f>IF(X349&lt;=0.65,0,IF(AND(X349&lt;=0.85,X349&gt;0.65),X349-0.65,IF(X349&gt;0.85,0.2)))</f>
        <v>0</v>
      </c>
      <c r="Y352" s="1326">
        <f>IF(Y349&lt;=0.65,0,IF(AND(Y349&lt;=0.85,Y349&gt;0.65),Y349-0.65,IF(Y349&gt;0.85,0.2)))</f>
        <v>0</v>
      </c>
      <c r="Z352" s="607"/>
      <c r="AA352" s="437"/>
      <c r="AB352" s="429"/>
      <c r="AC352" s="1326">
        <f>IF(AC349&lt;=0.65,0,IF(AND(AC349&lt;=0.85,AC349&gt;0.65),AC349-0.65,IF(AC349&gt;0.85,0.2)))</f>
        <v>0</v>
      </c>
      <c r="AD352" s="1326">
        <f>-IF(AD349&lt;=0.65,0,IF(AND(AD349&lt;=0.85,AD349&gt;0.65),AD349-0.65,IF(AD349&gt;0.85,0.2)))</f>
        <v>0</v>
      </c>
      <c r="AE352" s="1326">
        <f>-IF(AE349&lt;=0.65,0,IF(AND(AE349&lt;=0.85,AE349&gt;0.65),AE349-0.65,IF(AE349&gt;0.85,0.2)))</f>
        <v>0</v>
      </c>
      <c r="AF352" s="607"/>
      <c r="AG352" s="437"/>
      <c r="AH352" s="429"/>
      <c r="AI352" s="138"/>
      <c r="AJ352" s="313"/>
      <c r="AK352" s="313"/>
      <c r="AL352" s="313"/>
      <c r="AM352" s="313"/>
      <c r="AN352" s="313"/>
      <c r="AO352" s="354"/>
      <c r="AP352" s="354"/>
      <c r="AQ352" s="354"/>
      <c r="AR352" s="354"/>
      <c r="AS352" s="354"/>
      <c r="AT352" s="354"/>
      <c r="AU352" s="354"/>
      <c r="AV352" s="355"/>
      <c r="AW352" s="355"/>
      <c r="AX352" s="313"/>
      <c r="AY352" s="313"/>
      <c r="BB352" s="313"/>
      <c r="BC352" s="313"/>
      <c r="BD352" s="312"/>
      <c r="BE352" s="138"/>
      <c r="BF352" s="138"/>
      <c r="BG352" s="138"/>
      <c r="BH352" s="138"/>
      <c r="BI352" s="138"/>
    </row>
    <row r="353" spans="1:61" ht="15" customHeight="1">
      <c r="A353" s="313"/>
      <c r="B353" s="307" t="s">
        <v>232</v>
      </c>
      <c r="C353" s="869" t="str">
        <f>IF(Tool!$H$7="Français",G353,IF(Tool!$H$7="Italiano",I353,E353))</f>
        <v>Reduktionsmethode</v>
      </c>
      <c r="D353" s="913" t="s">
        <v>232</v>
      </c>
      <c r="E353" s="1630" t="s">
        <v>165</v>
      </c>
      <c r="F353" s="1631" t="s">
        <v>232</v>
      </c>
      <c r="G353" s="1636" t="s">
        <v>86</v>
      </c>
      <c r="H353" s="913"/>
      <c r="I353" s="332" t="s">
        <v>1122</v>
      </c>
      <c r="J353" s="318"/>
      <c r="K353" s="1327">
        <f>IF(K349&lt;=0.85,0,IF(AND(K349&lt;=1,K349&gt;0.85),K349-0.85,IF(K349&gt;1,0.15)))</f>
        <v>0</v>
      </c>
      <c r="L353" s="1327">
        <f>IF(L349&lt;=0.85,0,IF(AND(L349&lt;=1,L349&gt;0.85),L349-0.85,IF(L349&gt;1,0.15)))</f>
        <v>0</v>
      </c>
      <c r="M353" s="1327">
        <f>IF(M349&lt;=0.85,0,IF(AND(M349&lt;=1,M349&gt;0.85),M349-0.85,IF(M349&gt;1,0.15)))</f>
        <v>0</v>
      </c>
      <c r="N353" s="609"/>
      <c r="O353" s="442"/>
      <c r="P353" s="38"/>
      <c r="Q353" s="1327">
        <f t="shared" si="79"/>
        <v>0</v>
      </c>
      <c r="R353" s="1327">
        <f t="shared" si="77"/>
        <v>0</v>
      </c>
      <c r="S353" s="1327">
        <f t="shared" si="78"/>
        <v>0</v>
      </c>
      <c r="T353" s="609"/>
      <c r="U353" s="442"/>
      <c r="V353" s="38"/>
      <c r="W353" s="1327">
        <f>IF(W349&lt;=0.85,0,IF(AND(W349&lt;=1,W349&gt;0.85),W349-0.85,IF(W349&gt;1,0.15)))</f>
        <v>0</v>
      </c>
      <c r="X353" s="1327">
        <f>IF(X349&lt;=0.85,0,IF(AND(X349&lt;=1,X349&gt;0.85),X349-0.85,IF(X349&gt;1,0.15)))</f>
        <v>0</v>
      </c>
      <c r="Y353" s="1327">
        <f>IF(Y349&lt;=0.85,0,IF(AND(Y349&lt;=1,Y349&gt;0.85),Y349-0.85,IF(Y349&gt;1,0.15)))</f>
        <v>0</v>
      </c>
      <c r="Z353" s="609"/>
      <c r="AA353" s="442"/>
      <c r="AB353" s="38"/>
      <c r="AC353" s="1327">
        <f>IF(AC349&lt;=0.85,0,IF(AND(AC349&lt;=1,AC349&gt;0.85),AC349-0.85,IF(AC349&gt;1,0.15)))</f>
        <v>0</v>
      </c>
      <c r="AD353" s="1327">
        <f>-IF(AD349&lt;=0.85,0,IF(AND(AD349&lt;=1,AD349&gt;0.85),AD349-0.85,IF(AD349&gt;1,0.15)))</f>
        <v>0</v>
      </c>
      <c r="AE353" s="1327">
        <f>-IF(AE349&lt;=0.85,0,IF(AND(AE349&lt;=1,AE349&gt;0.85),AE349-0.85,IF(AE349&gt;1,0.15)))</f>
        <v>0</v>
      </c>
      <c r="AF353" s="607"/>
      <c r="AG353" s="437"/>
      <c r="AH353" s="429"/>
      <c r="AI353" s="138"/>
      <c r="AJ353" s="313"/>
      <c r="AK353" s="313"/>
      <c r="AL353" s="313"/>
      <c r="AM353" s="313"/>
      <c r="AN353" s="313"/>
      <c r="AO353" s="354"/>
      <c r="AP353" s="354"/>
      <c r="AQ353" s="354"/>
      <c r="AR353" s="354"/>
      <c r="AS353" s="354"/>
      <c r="AT353" s="354"/>
      <c r="AU353" s="354"/>
      <c r="AV353" s="355"/>
      <c r="AW353" s="355"/>
      <c r="AX353" s="313"/>
      <c r="AY353" s="312"/>
      <c r="BB353" s="312"/>
      <c r="BC353" s="312"/>
      <c r="BD353" s="313"/>
      <c r="BE353" s="138"/>
      <c r="BF353" s="138"/>
      <c r="BG353" s="138"/>
      <c r="BH353" s="138"/>
      <c r="BI353" s="138"/>
    </row>
    <row r="354" spans="1:61" ht="15" customHeight="1">
      <c r="A354" s="312"/>
      <c r="B354" s="295"/>
      <c r="C354" s="284" t="str">
        <f>IF(Tool!$H$7="Français",G354,IF(Tool!$H$7="Italiano",I354,E354))</f>
        <v>Negative oder nicht eindeutige Antworten führen zu Zusatzfragen, wie im folgenden Beispiel:</v>
      </c>
      <c r="D354" s="302"/>
      <c r="E354" s="1633" t="s">
        <v>1603</v>
      </c>
      <c r="F354" s="1634"/>
      <c r="G354" s="1637" t="s">
        <v>1604</v>
      </c>
      <c r="H354" s="302"/>
      <c r="I354" s="319" t="s">
        <v>1873</v>
      </c>
      <c r="J354" s="318"/>
      <c r="K354" s="1326"/>
      <c r="L354" s="1326"/>
      <c r="M354" s="1326"/>
      <c r="N354" s="587"/>
      <c r="O354" s="442"/>
      <c r="P354" s="38"/>
      <c r="Q354" s="1326">
        <f t="shared" si="79"/>
        <v>0</v>
      </c>
      <c r="R354" s="1326">
        <f t="shared" si="77"/>
        <v>0</v>
      </c>
      <c r="S354" s="1326">
        <f t="shared" si="78"/>
        <v>0</v>
      </c>
      <c r="T354" s="587"/>
      <c r="U354" s="442"/>
      <c r="V354" s="38"/>
      <c r="W354" s="1326"/>
      <c r="X354" s="1326"/>
      <c r="Y354" s="1326"/>
      <c r="Z354" s="587"/>
      <c r="AA354" s="442"/>
      <c r="AB354" s="38"/>
      <c r="AC354" s="1326"/>
      <c r="AD354" s="1326"/>
      <c r="AE354" s="1326"/>
      <c r="AF354" s="587"/>
      <c r="AG354" s="442"/>
      <c r="AH354" s="38"/>
      <c r="AI354" s="138"/>
      <c r="AJ354" s="313"/>
      <c r="AK354" s="313"/>
      <c r="AL354" s="313"/>
      <c r="AM354" s="313"/>
      <c r="AN354" s="313"/>
      <c r="AO354" s="354"/>
      <c r="AP354" s="354"/>
      <c r="AQ354" s="354"/>
      <c r="AR354" s="354"/>
      <c r="AS354" s="354"/>
      <c r="AT354" s="354"/>
      <c r="AU354" s="354"/>
      <c r="AV354" s="355"/>
      <c r="AW354" s="355"/>
      <c r="AX354" s="313"/>
      <c r="AY354" s="313"/>
      <c r="BB354" s="313"/>
      <c r="BC354" s="313"/>
      <c r="BD354" s="313"/>
      <c r="BE354" s="138"/>
      <c r="BF354" s="138"/>
      <c r="BG354" s="138"/>
      <c r="BH354" s="138"/>
      <c r="BI354" s="138"/>
    </row>
    <row r="355" spans="1:61" ht="15" customHeight="1">
      <c r="A355" s="313"/>
      <c r="B355" s="295"/>
      <c r="C355" s="284" t="str">
        <f>IF(Tool!$H$7="Français",G355,IF(Tool!$H$7="Italiano",I355,E355))</f>
        <v>Bitte Antwort auswählen</v>
      </c>
      <c r="D355" s="302"/>
      <c r="E355" s="1633" t="s">
        <v>228</v>
      </c>
      <c r="F355" s="1634"/>
      <c r="G355" s="1618" t="s">
        <v>140</v>
      </c>
      <c r="H355" s="302"/>
      <c r="I355" s="319" t="s">
        <v>1123</v>
      </c>
      <c r="J355" s="318"/>
      <c r="K355" s="1326">
        <f>IF(K349=1,0,
IF(K349&gt;=0.85,0.15-K353,
IF(K349&gt;=0.65,0.2-K352,
IF(K349&gt;0.5,0.15-K351,IF(K349=0.5,0,IF(K349=0,0.5,
0.5-K350))))))</f>
        <v>0.5</v>
      </c>
      <c r="L355" s="1326">
        <f t="shared" ref="L355:M355" si="80">IF(L349=1,0,
IF(L349&gt;=0.85,0.15-L353,
IF(L349&gt;=0.65,0.2-L352,
IF(L349&gt;0.5,0.15-L351,IF(L349=0.5,0,IF(L349=0,0.5,
0.5-L350))))))</f>
        <v>0.5</v>
      </c>
      <c r="M355" s="1326">
        <f t="shared" si="80"/>
        <v>0.5</v>
      </c>
      <c r="N355" s="587"/>
      <c r="O355" s="442"/>
      <c r="P355" s="38"/>
      <c r="Q355" s="1326">
        <f t="shared" si="79"/>
        <v>-0.5</v>
      </c>
      <c r="R355" s="1326">
        <f t="shared" si="77"/>
        <v>-0.5</v>
      </c>
      <c r="S355" s="1326">
        <f t="shared" si="78"/>
        <v>-0.5</v>
      </c>
      <c r="T355" s="587"/>
      <c r="U355" s="442"/>
      <c r="V355" s="38"/>
      <c r="W355" s="1326">
        <f>IF(W349=1,0,
IF(W349&gt;=0.85,0.15-W353,
IF(W349&gt;=0.65,0.2-W352,
IF(W349&gt;0.5,0.15-W351,IF(W349=0.5,0,IF(W349=0,0.5,
0.5-W350))))))</f>
        <v>0.5</v>
      </c>
      <c r="X355" s="1326">
        <f t="shared" ref="X355:Y355" si="81">IF(X349=1,0,
IF(X349&gt;=0.85,0.15-X353,
IF(X349&gt;=0.65,0.2-X352,
IF(X349&gt;0.5,0.15-X351,IF(X349=0.5,0,IF(X349=0,0.5,
0.5-X350))))))</f>
        <v>0.5</v>
      </c>
      <c r="Y355" s="1326">
        <f t="shared" si="81"/>
        <v>0.5</v>
      </c>
      <c r="Z355" s="587"/>
      <c r="AA355" s="442"/>
      <c r="AB355" s="38"/>
      <c r="AC355" s="1326">
        <f>-IF(AC349=1,0,
IF(AC349&gt;=0.85,0.15+AC353,
IF(AC349&gt;=0.65,0.2+AC352,
IF(AC349&gt;0.5,0.15+AC351,IF(AC349=0.5,0,IF(AC349=0,0.5,
0.5+AC350))))))</f>
        <v>-0.5</v>
      </c>
      <c r="AD355" s="1326">
        <f>-IF(AD349=1,0,
IF(AD349&gt;=0.85,0.15+AD353,
IF(AD349&gt;=0.65,0.2+AD352,
IF(AD349&gt;0.5,0.15+AD351,IF(AD349=0.5,0,IF(AD349=0,0.5,
0.5+AD350))))))</f>
        <v>-0.5</v>
      </c>
      <c r="AE355" s="1326">
        <f>-IF(AE349=1,0,
IF(AE349&gt;=0.85,0.15+AE353,
IF(AE349&gt;=0.65,0.2+AE352,
IF(AE349&gt;0.5,0.15+AE351,IF(AE349=0.5,0,IF(AE349=0,0.5,
0.5+AE350))))))</f>
        <v>-0.5</v>
      </c>
      <c r="AF355" s="587"/>
      <c r="AG355" s="442"/>
      <c r="AH355" s="38"/>
      <c r="AI355" s="138"/>
      <c r="AJ355" s="313"/>
      <c r="AK355" s="313"/>
      <c r="AL355" s="313"/>
      <c r="AM355" s="313"/>
      <c r="AN355" s="313"/>
      <c r="AO355" s="354"/>
      <c r="AP355" s="354"/>
      <c r="AQ355" s="354"/>
      <c r="AR355" s="354"/>
      <c r="AS355" s="354"/>
      <c r="AT355" s="354"/>
      <c r="AU355" s="354"/>
      <c r="AV355" s="355"/>
      <c r="AW355" s="355"/>
      <c r="AX355" s="313"/>
      <c r="AY355" s="313"/>
      <c r="BB355" s="313"/>
      <c r="BC355" s="313"/>
      <c r="BD355" s="313"/>
      <c r="BE355" s="138"/>
      <c r="BF355" s="138"/>
      <c r="BG355" s="138"/>
      <c r="BH355" s="138"/>
      <c r="BI355" s="138"/>
    </row>
    <row r="356" spans="1:61" ht="15" customHeight="1">
      <c r="A356" s="313"/>
      <c r="B356" s="295"/>
      <c r="C356" s="284" t="str">
        <f>IF(Tool!$H$7="Français",G356,IF(Tool!$H$7="Italiano",I356,E356))</f>
        <v>Da die erste Antwort nicht eindeutig ist, werden im Pre-Check Zusatzfragen eingeblendet.</v>
      </c>
      <c r="D356" s="302"/>
      <c r="E356" s="1633" t="s">
        <v>166</v>
      </c>
      <c r="F356" s="1634"/>
      <c r="G356" s="1618" t="s">
        <v>141</v>
      </c>
      <c r="H356" s="302"/>
      <c r="I356" s="319" t="s">
        <v>1124</v>
      </c>
      <c r="J356" s="318"/>
      <c r="K356" s="1326">
        <f>IF(K349&lt;=0.5,0.15,0)</f>
        <v>0.15</v>
      </c>
      <c r="L356" s="1326">
        <f>IF(L349&lt;=0.5,0.15,0)</f>
        <v>0.15</v>
      </c>
      <c r="M356" s="1326">
        <f>IF(M349&lt;=0.5,0.15,0)</f>
        <v>0.15</v>
      </c>
      <c r="N356" s="587"/>
      <c r="O356" s="442"/>
      <c r="P356" s="38"/>
      <c r="Q356" s="1326">
        <f t="shared" si="79"/>
        <v>-0.15</v>
      </c>
      <c r="R356" s="1326">
        <f t="shared" si="77"/>
        <v>-0.15</v>
      </c>
      <c r="S356" s="1326">
        <f t="shared" si="78"/>
        <v>-0.15</v>
      </c>
      <c r="T356" s="587"/>
      <c r="U356" s="442"/>
      <c r="V356" s="38"/>
      <c r="W356" s="1326">
        <f>IF(W349&lt;=0.5,0.15,0)</f>
        <v>0.15</v>
      </c>
      <c r="X356" s="1326">
        <f>IF(X349&lt;=0.5,0.15,0)</f>
        <v>0.15</v>
      </c>
      <c r="Y356" s="1326">
        <f>IF(Y349&lt;=0.5,0.15,0)</f>
        <v>0.15</v>
      </c>
      <c r="Z356" s="587"/>
      <c r="AA356" s="442"/>
      <c r="AB356" s="38"/>
      <c r="AC356" s="1326">
        <f>-IF(AC349&lt;=0.5,0.15,0)</f>
        <v>-0.15</v>
      </c>
      <c r="AD356" s="1326">
        <f>-IF(AD349&lt;=0.5,0.15,0)</f>
        <v>-0.15</v>
      </c>
      <c r="AE356" s="1326">
        <f>-IF(AE349&lt;=0.5,0.15,0)</f>
        <v>-0.15</v>
      </c>
      <c r="AF356" s="587"/>
      <c r="AG356" s="442"/>
      <c r="AH356" s="38"/>
      <c r="AI356" s="138"/>
      <c r="AJ356" s="313"/>
      <c r="AK356" s="313"/>
      <c r="AL356" s="313"/>
      <c r="AM356" s="313"/>
      <c r="AN356" s="313"/>
      <c r="AO356" s="354"/>
      <c r="AP356" s="354"/>
      <c r="AQ356" s="354"/>
      <c r="AR356" s="354"/>
      <c r="AS356" s="354"/>
      <c r="AT356" s="354"/>
      <c r="AU356" s="354"/>
      <c r="AV356" s="355"/>
      <c r="AW356" s="355"/>
      <c r="AX356" s="313"/>
      <c r="AY356" s="313"/>
      <c r="BB356" s="313"/>
      <c r="BC356" s="313"/>
      <c r="BD356" s="313"/>
      <c r="BE356" s="138"/>
      <c r="BF356" s="138"/>
      <c r="BG356" s="138"/>
      <c r="BH356" s="138"/>
      <c r="BI356" s="138"/>
    </row>
    <row r="357" spans="1:61" ht="15" customHeight="1">
      <c r="A357" s="313"/>
      <c r="B357" s="293" t="s">
        <v>233</v>
      </c>
      <c r="C357" s="869" t="str">
        <f>IF(Tool!$H$7="Français",G357,IF(Tool!$H$7="Italiano",I357,E357))</f>
        <v>Bewertungsmechanismus</v>
      </c>
      <c r="D357" s="463" t="s">
        <v>233</v>
      </c>
      <c r="E357" s="1630" t="s">
        <v>167</v>
      </c>
      <c r="F357" s="1639" t="s">
        <v>233</v>
      </c>
      <c r="G357" s="1620" t="s">
        <v>119</v>
      </c>
      <c r="H357" s="463"/>
      <c r="I357" s="332" t="s">
        <v>1125</v>
      </c>
      <c r="J357" s="318"/>
      <c r="K357" s="1326">
        <f>IF(K349&lt;=0.65,0.2,0)</f>
        <v>0.2</v>
      </c>
      <c r="L357" s="1326">
        <f>IF(L349&lt;=0.65,0.2,0)</f>
        <v>0.2</v>
      </c>
      <c r="M357" s="1326">
        <f>IF(M349&lt;=0.65,0.2,0)</f>
        <v>0.2</v>
      </c>
      <c r="N357" s="587"/>
      <c r="O357" s="442"/>
      <c r="P357" s="38"/>
      <c r="Q357" s="1326">
        <f t="shared" si="79"/>
        <v>-0.2</v>
      </c>
      <c r="R357" s="1326">
        <f t="shared" si="77"/>
        <v>-0.2</v>
      </c>
      <c r="S357" s="1326">
        <f t="shared" si="78"/>
        <v>-0.2</v>
      </c>
      <c r="T357" s="587"/>
      <c r="U357" s="442"/>
      <c r="V357" s="38"/>
      <c r="W357" s="1326">
        <f>IF(W349&lt;=0.65,0.2,0)</f>
        <v>0.2</v>
      </c>
      <c r="X357" s="1326">
        <f>IF(X349&lt;=0.65,0.2,0)</f>
        <v>0.2</v>
      </c>
      <c r="Y357" s="1326">
        <f>IF(Y349&lt;=0.65,0.2,0)</f>
        <v>0.2</v>
      </c>
      <c r="Z357" s="587"/>
      <c r="AA357" s="442"/>
      <c r="AB357" s="38"/>
      <c r="AC357" s="1326">
        <f>-IF(AC349&lt;=0.65,0.2,0)</f>
        <v>-0.2</v>
      </c>
      <c r="AD357" s="1326">
        <f>-IF(AD349&lt;=0.65,0.2,0)</f>
        <v>-0.2</v>
      </c>
      <c r="AE357" s="1326">
        <f>-IF(AE349&lt;=0.65,0.2,0)</f>
        <v>-0.2</v>
      </c>
      <c r="AF357" s="587"/>
      <c r="AG357" s="442"/>
      <c r="AH357" s="38"/>
      <c r="AI357" s="138"/>
      <c r="AJ357" s="313"/>
      <c r="AK357" s="313"/>
      <c r="AL357" s="313"/>
      <c r="AM357" s="313"/>
      <c r="AN357" s="313"/>
      <c r="AO357" s="354"/>
      <c r="AP357" s="354"/>
      <c r="AQ357" s="354"/>
      <c r="AR357" s="354"/>
      <c r="AS357" s="354"/>
      <c r="AT357" s="354"/>
      <c r="AU357" s="354"/>
      <c r="AV357" s="355"/>
      <c r="AW357" s="355"/>
      <c r="AX357" s="313"/>
      <c r="AY357" s="312"/>
      <c r="BB357" s="312"/>
      <c r="BC357" s="312"/>
      <c r="BD357" s="313"/>
      <c r="BE357" s="138"/>
      <c r="BF357" s="138"/>
      <c r="BG357" s="138"/>
      <c r="BH357" s="138"/>
      <c r="BI357" s="138"/>
    </row>
    <row r="358" spans="1:61" ht="15" customHeight="1">
      <c r="A358" s="313"/>
      <c r="B358" s="295"/>
      <c r="C358" s="284" t="str">
        <f>IF(Tool!$H$7="Français",G358,IF(Tool!$H$7="Italiano",I358,E358))</f>
        <v>Beträgt die Bewertung mehr als 85 %, gelten die Anforderungen im jeweiligen Kriterium als "gut" erfüllt.</v>
      </c>
      <c r="D358" s="302"/>
      <c r="E358" s="1633" t="s">
        <v>1092</v>
      </c>
      <c r="F358" s="1634"/>
      <c r="G358" s="1618" t="s">
        <v>1096</v>
      </c>
      <c r="H358" s="302"/>
      <c r="I358" s="319" t="s">
        <v>1874</v>
      </c>
      <c r="J358" s="318"/>
      <c r="K358" s="1327">
        <f>IF(K349&lt;=0.85,0.15,0)</f>
        <v>0.15</v>
      </c>
      <c r="L358" s="1327">
        <f>IF(L349&lt;=0.85,0.15,0)</f>
        <v>0.15</v>
      </c>
      <c r="M358" s="1327">
        <f>IF(M349&lt;=0.85,0.15,0)</f>
        <v>0.15</v>
      </c>
      <c r="N358" s="608"/>
      <c r="O358" s="443"/>
      <c r="P358" s="444"/>
      <c r="Q358" s="1326">
        <f t="shared" ref="Q358" si="82">-K358</f>
        <v>-0.15</v>
      </c>
      <c r="R358" s="1326">
        <f t="shared" ref="R358" si="83">-L358</f>
        <v>-0.15</v>
      </c>
      <c r="S358" s="1326">
        <f t="shared" ref="S358" si="84">-M358</f>
        <v>-0.15</v>
      </c>
      <c r="T358" s="587"/>
      <c r="U358" s="443"/>
      <c r="V358" s="444"/>
      <c r="W358" s="1327">
        <f>IF(W349&lt;=0.85,0.15,0)</f>
        <v>0.15</v>
      </c>
      <c r="X358" s="1327">
        <f>IF(X349&lt;=0.85,0.15,0)</f>
        <v>0.15</v>
      </c>
      <c r="Y358" s="1327">
        <f>IF(Y349&lt;=0.85,0.15,0)</f>
        <v>0.15</v>
      </c>
      <c r="Z358" s="587"/>
      <c r="AA358" s="443"/>
      <c r="AB358" s="444"/>
      <c r="AC358" s="1327">
        <f>-IF(AC349&lt;=0.85,0.15,0)</f>
        <v>-0.15</v>
      </c>
      <c r="AD358" s="1327">
        <f>-IF(AD349&lt;=0.85,0.15,0)</f>
        <v>-0.15</v>
      </c>
      <c r="AE358" s="1327">
        <f>-IF(AE349&lt;=0.85,0.15,0)</f>
        <v>-0.15</v>
      </c>
      <c r="AF358" s="587"/>
      <c r="AG358" s="442"/>
      <c r="AH358" s="38"/>
      <c r="AI358" s="138"/>
      <c r="AJ358" s="313"/>
      <c r="AK358" s="313"/>
      <c r="AL358" s="313"/>
      <c r="AM358" s="313"/>
      <c r="AN358" s="313"/>
      <c r="AO358" s="354"/>
      <c r="AP358" s="354"/>
      <c r="AQ358" s="354"/>
      <c r="AR358" s="354"/>
      <c r="AS358" s="354"/>
      <c r="AT358" s="354"/>
      <c r="AU358" s="354"/>
      <c r="AV358" s="355"/>
      <c r="AW358" s="355"/>
      <c r="AX358" s="312"/>
      <c r="AY358" s="313"/>
      <c r="BB358" s="313"/>
      <c r="BC358" s="313"/>
      <c r="BD358" s="313"/>
      <c r="BE358" s="138"/>
      <c r="BF358" s="138"/>
      <c r="BG358" s="138"/>
      <c r="BH358" s="138"/>
      <c r="BI358" s="138"/>
    </row>
    <row r="359" spans="1:61" ht="15" customHeight="1">
      <c r="A359" s="313"/>
      <c r="B359" s="295"/>
      <c r="C359" s="284" t="str">
        <f>IF(Tool!$H$7="Français",G359,IF(Tool!$H$7="Italiano",I359,E359))</f>
        <v>Beträgt die Bewertung zwischen 65 % und 85 %, gelten die Anforderungen im jeweiligen Kriterium als "genügend" erfüllt.</v>
      </c>
      <c r="D359" s="302"/>
      <c r="E359" s="1633" t="s">
        <v>1093</v>
      </c>
      <c r="F359" s="1634"/>
      <c r="G359" s="1618" t="s">
        <v>1097</v>
      </c>
      <c r="H359" s="302"/>
      <c r="I359" s="319" t="s">
        <v>1875</v>
      </c>
      <c r="J359" s="362"/>
      <c r="K359" s="883" t="s">
        <v>445</v>
      </c>
      <c r="L359" s="884"/>
      <c r="M359" s="884"/>
      <c r="N359" s="884"/>
      <c r="O359" s="884"/>
      <c r="P359" s="885"/>
      <c r="Q359" s="883" t="s">
        <v>445</v>
      </c>
      <c r="R359" s="884"/>
      <c r="S359" s="884"/>
      <c r="T359" s="884"/>
      <c r="U359" s="884"/>
      <c r="V359" s="885"/>
      <c r="W359" s="752" t="s">
        <v>1478</v>
      </c>
      <c r="X359" s="884"/>
      <c r="Y359" s="884"/>
      <c r="Z359" s="884"/>
      <c r="AA359" s="884"/>
      <c r="AB359" s="885"/>
      <c r="AC359" s="752" t="s">
        <v>1478</v>
      </c>
      <c r="AD359" s="884"/>
      <c r="AE359" s="884"/>
      <c r="AF359" s="884"/>
      <c r="AG359" s="884"/>
      <c r="AH359" s="885"/>
      <c r="AI359" s="138"/>
      <c r="AJ359" s="312"/>
      <c r="AK359" s="312"/>
      <c r="AL359" s="312"/>
      <c r="AM359" s="312"/>
      <c r="AN359" s="312"/>
      <c r="AO359" s="352"/>
      <c r="AP359" s="352"/>
      <c r="AQ359" s="352"/>
      <c r="AR359" s="352"/>
      <c r="AS359" s="352"/>
      <c r="AT359" s="352"/>
      <c r="AU359" s="352"/>
      <c r="AV359" s="355"/>
      <c r="AW359" s="355"/>
      <c r="AX359" s="313"/>
      <c r="AY359" s="313"/>
      <c r="BB359" s="313"/>
      <c r="BC359" s="313"/>
      <c r="BD359" s="313"/>
      <c r="BE359" s="138"/>
      <c r="BF359" s="138"/>
      <c r="BG359" s="138"/>
      <c r="BH359" s="138"/>
      <c r="BI359" s="138"/>
    </row>
    <row r="360" spans="1:61" ht="15" customHeight="1">
      <c r="A360" s="313"/>
      <c r="B360" s="295"/>
      <c r="C360" s="284" t="str">
        <f>IF(Tool!$H$7="Français",G360,IF(Tool!$H$7="Italiano",I360,E360))</f>
        <v>Beträgt die Bewertung zwischen 50 % und 65 %, gelten die Anforderungen im jeweiligen Kriterium als "ungenügend" erfüllt.</v>
      </c>
      <c r="D360" s="302"/>
      <c r="E360" s="1633" t="s">
        <v>1094</v>
      </c>
      <c r="F360" s="1634"/>
      <c r="G360" s="1618" t="s">
        <v>1098</v>
      </c>
      <c r="H360" s="302"/>
      <c r="I360" s="319" t="s">
        <v>1876</v>
      </c>
      <c r="J360" s="363"/>
      <c r="K360" s="1131" t="s">
        <v>38</v>
      </c>
      <c r="L360" s="1132" t="s">
        <v>37</v>
      </c>
      <c r="M360" s="1132" t="s">
        <v>2</v>
      </c>
      <c r="N360" s="1132" t="s">
        <v>3</v>
      </c>
      <c r="O360" s="440"/>
      <c r="P360" s="441"/>
      <c r="Q360" s="1131" t="s">
        <v>38</v>
      </c>
      <c r="R360" s="1132" t="s">
        <v>37</v>
      </c>
      <c r="S360" s="1132" t="s">
        <v>2</v>
      </c>
      <c r="T360" s="1132" t="s">
        <v>3</v>
      </c>
      <c r="U360" s="440"/>
      <c r="V360" s="441"/>
      <c r="W360" s="1131" t="s">
        <v>38</v>
      </c>
      <c r="X360" s="1132" t="s">
        <v>37</v>
      </c>
      <c r="Y360" s="1132" t="s">
        <v>2</v>
      </c>
      <c r="Z360" s="1132" t="s">
        <v>3</v>
      </c>
      <c r="AA360" s="440"/>
      <c r="AB360" s="441"/>
      <c r="AC360" s="1131" t="s">
        <v>38</v>
      </c>
      <c r="AD360" s="1132" t="s">
        <v>37</v>
      </c>
      <c r="AE360" s="1132" t="s">
        <v>2</v>
      </c>
      <c r="AF360" s="1132" t="s">
        <v>3</v>
      </c>
      <c r="AG360" s="440"/>
      <c r="AH360" s="441"/>
      <c r="AI360" s="138"/>
      <c r="AJ360" s="313"/>
      <c r="AK360" s="313"/>
      <c r="AL360" s="313"/>
      <c r="AM360" s="313"/>
      <c r="AN360" s="313"/>
      <c r="AO360" s="354"/>
      <c r="AP360" s="354"/>
      <c r="AQ360" s="354"/>
      <c r="AR360" s="354"/>
      <c r="AS360" s="354"/>
      <c r="AT360" s="354"/>
      <c r="AU360" s="354"/>
      <c r="AV360" s="355"/>
      <c r="AW360" s="355"/>
      <c r="AX360" s="313"/>
      <c r="AY360" s="313"/>
      <c r="BB360" s="313"/>
      <c r="BC360" s="313"/>
      <c r="BD360" s="313"/>
      <c r="BE360" s="138"/>
      <c r="BF360" s="138"/>
      <c r="BG360" s="138"/>
      <c r="BH360" s="138"/>
      <c r="BI360" s="138"/>
    </row>
    <row r="361" spans="1:61" ht="15" customHeight="1">
      <c r="A361" s="313"/>
      <c r="B361" s="297"/>
      <c r="C361" s="876" t="str">
        <f>IF(Tool!$H$7="Français",G361,IF(Tool!$H$7="Italiano",I361,E361))</f>
        <v>Beträgt die Bewertung weniger als 50 %, wird der jeweilige Kriterium als "Stolperstein" bezeichnet.</v>
      </c>
      <c r="D361" s="303"/>
      <c r="E361" s="1651" t="s">
        <v>1095</v>
      </c>
      <c r="F361" s="1641"/>
      <c r="G361" s="1619" t="s">
        <v>1099</v>
      </c>
      <c r="H361" s="303"/>
      <c r="I361" s="320" t="s">
        <v>1877</v>
      </c>
      <c r="J361" s="363"/>
      <c r="K361" s="1318">
        <f>Q329</f>
        <v>0</v>
      </c>
      <c r="L361" s="1319">
        <f>Q328</f>
        <v>0</v>
      </c>
      <c r="M361" s="1319">
        <f>Q327</f>
        <v>0</v>
      </c>
      <c r="N361" s="1319">
        <f>Q326</f>
        <v>0</v>
      </c>
      <c r="O361" s="442"/>
      <c r="P361" s="38"/>
      <c r="Q361" s="1318">
        <f>-K361</f>
        <v>0</v>
      </c>
      <c r="R361" s="1319">
        <f t="shared" ref="R361:R369" si="85">-L361</f>
        <v>0</v>
      </c>
      <c r="S361" s="1319">
        <f t="shared" ref="S361:S369" si="86">-M361</f>
        <v>0</v>
      </c>
      <c r="T361" s="1320">
        <f t="shared" ref="T361:T369" si="87">-N361</f>
        <v>0</v>
      </c>
      <c r="U361" s="442"/>
      <c r="V361" s="38"/>
      <c r="W361" s="1318">
        <f>R329</f>
        <v>0</v>
      </c>
      <c r="X361" s="1319">
        <f>R328</f>
        <v>0</v>
      </c>
      <c r="Y361" s="1319">
        <f>R327</f>
        <v>0</v>
      </c>
      <c r="Z361" s="1320">
        <f>R326</f>
        <v>0</v>
      </c>
      <c r="AA361" s="442"/>
      <c r="AB361" s="38"/>
      <c r="AC361" s="1318">
        <f>U329</f>
        <v>0</v>
      </c>
      <c r="AD361" s="1319">
        <f>U328</f>
        <v>0</v>
      </c>
      <c r="AE361" s="1319">
        <f>U327</f>
        <v>0</v>
      </c>
      <c r="AF361" s="1320">
        <f>U326</f>
        <v>0</v>
      </c>
      <c r="AG361" s="442"/>
      <c r="AH361" s="38"/>
      <c r="AI361" s="138"/>
      <c r="AJ361" s="313"/>
      <c r="AK361" s="313"/>
      <c r="AL361" s="313"/>
      <c r="AM361" s="313"/>
      <c r="AN361" s="313"/>
      <c r="AO361" s="354"/>
      <c r="AP361" s="354"/>
      <c r="AQ361" s="354"/>
      <c r="AR361" s="354"/>
      <c r="AS361" s="354"/>
      <c r="AT361" s="354"/>
      <c r="AU361" s="354"/>
      <c r="AV361" s="355"/>
      <c r="AW361" s="355"/>
      <c r="AX361" s="313"/>
      <c r="AY361" s="313"/>
      <c r="BB361" s="313"/>
      <c r="BC361" s="313"/>
      <c r="BD361" s="313"/>
      <c r="BE361" s="138"/>
      <c r="BF361" s="138"/>
      <c r="BG361" s="138"/>
      <c r="BH361" s="138"/>
      <c r="BI361" s="138"/>
    </row>
    <row r="362" spans="1:61" ht="15" customHeight="1">
      <c r="A362" s="313"/>
      <c r="B362" s="307" t="s">
        <v>87</v>
      </c>
      <c r="C362" s="869" t="str">
        <f>IF(Tool!$H$7="Français",G362,IF(Tool!$H$7="Italiano",I362,E362))</f>
        <v>Bewertungsübersicht</v>
      </c>
      <c r="D362" s="913" t="s">
        <v>87</v>
      </c>
      <c r="E362" s="1620" t="s">
        <v>172</v>
      </c>
      <c r="F362" s="1631" t="s">
        <v>87</v>
      </c>
      <c r="G362" s="1620" t="s">
        <v>132</v>
      </c>
      <c r="H362" s="913"/>
      <c r="I362" s="332" t="s">
        <v>1126</v>
      </c>
      <c r="J362" s="363"/>
      <c r="K362" s="1312">
        <f>IF(K361&lt;=0.5,K361,IF(K361&gt;0.5,0.5))</f>
        <v>0</v>
      </c>
      <c r="L362" s="1312">
        <f>IF(L361&lt;=0.5,L361,IF(L361&gt;0.5,0.5))</f>
        <v>0</v>
      </c>
      <c r="M362" s="1312">
        <f>IF(M361&lt;=0.5,M361,IF(M361&gt;0.5,0.5))</f>
        <v>0</v>
      </c>
      <c r="N362" s="1313">
        <f>IF(N361&lt;=0.5,N361,IF(N361&gt;0.5,0.5))</f>
        <v>0</v>
      </c>
      <c r="O362" s="437"/>
      <c r="P362" s="429"/>
      <c r="Q362" s="1312">
        <f t="shared" ref="Q362:Q369" si="88">-K362</f>
        <v>0</v>
      </c>
      <c r="R362" s="1312">
        <f t="shared" si="85"/>
        <v>0</v>
      </c>
      <c r="S362" s="1312">
        <f t="shared" si="86"/>
        <v>0</v>
      </c>
      <c r="T362" s="1313">
        <f t="shared" si="87"/>
        <v>0</v>
      </c>
      <c r="U362" s="437"/>
      <c r="V362" s="429"/>
      <c r="W362" s="1312">
        <f>IF(W361&lt;=0.5,W361,IF(W361&gt;0.5,0.5))</f>
        <v>0</v>
      </c>
      <c r="X362" s="1312">
        <f>IF(X361&lt;=0.5,X361,IF(X361&gt;0.5,0.5))</f>
        <v>0</v>
      </c>
      <c r="Y362" s="1312">
        <f>IF(Y361&lt;=0.5,Y361,IF(Y361&gt;0.5,0.5))</f>
        <v>0</v>
      </c>
      <c r="Z362" s="1313">
        <f>IF(Z361&lt;=0.5,Z361,IF(Z361&gt;0.5,0.5))</f>
        <v>0</v>
      </c>
      <c r="AA362" s="437"/>
      <c r="AB362" s="429"/>
      <c r="AC362" s="1312">
        <f>-IF(AC361&lt;=0.5,AC361,IF(AC361&gt;0.5,0.5))</f>
        <v>0</v>
      </c>
      <c r="AD362" s="1312">
        <f>-IF(AD361&lt;=0.5,AD361,IF(AD361&gt;0.5,0.5))</f>
        <v>0</v>
      </c>
      <c r="AE362" s="1312">
        <f>-IF(AE361&lt;=0.5,AE361,IF(AE361&gt;0.5,0.5))</f>
        <v>0</v>
      </c>
      <c r="AF362" s="1313">
        <f>-IF(AF361&lt;=0.5,AF361,IF(AF361&gt;0.5,0.5))</f>
        <v>0</v>
      </c>
      <c r="AG362" s="437"/>
      <c r="AH362" s="429"/>
      <c r="AI362" s="138"/>
      <c r="AJ362" s="313"/>
      <c r="AK362" s="313"/>
      <c r="AL362" s="313"/>
      <c r="AM362" s="313"/>
      <c r="AN362" s="313"/>
      <c r="AO362" s="354"/>
      <c r="AP362" s="354"/>
      <c r="AQ362" s="354"/>
      <c r="AR362" s="354"/>
      <c r="AS362" s="354"/>
      <c r="AT362" s="354"/>
      <c r="AU362" s="354"/>
      <c r="AV362" s="355"/>
      <c r="AW362" s="355"/>
      <c r="AX362" s="312"/>
      <c r="AY362" s="313"/>
      <c r="BB362" s="313"/>
      <c r="BC362" s="313"/>
      <c r="BD362" s="313"/>
      <c r="BE362" s="138"/>
      <c r="BF362" s="138"/>
      <c r="BG362" s="138"/>
      <c r="BH362" s="138"/>
      <c r="BI362" s="138"/>
    </row>
    <row r="363" spans="1:61" ht="15" customHeight="1">
      <c r="A363" s="312"/>
      <c r="B363" s="295"/>
      <c r="C363" s="284" t="str">
        <f>IF(Tool!$H$7="Français",G363,IF(Tool!$H$7="Italiano",I363,E363))</f>
        <v>Eine positive Antwort ergibt meistens 100 % in der Bewertung für das entsprechenden Kriterium.</v>
      </c>
      <c r="D363" s="302"/>
      <c r="E363" s="1618" t="s">
        <v>1654</v>
      </c>
      <c r="F363" s="1634"/>
      <c r="G363" s="1638" t="s">
        <v>1914</v>
      </c>
      <c r="H363" s="302"/>
      <c r="I363" s="319" t="s">
        <v>1655</v>
      </c>
      <c r="J363" s="361"/>
      <c r="K363" s="1314">
        <f>IF(K361&lt;=0.5,0,IF(AND(K361&lt;=0.65,K361&gt;0.5),K361-0.5,IF(K361&gt;0.65,0.15)))</f>
        <v>0</v>
      </c>
      <c r="L363" s="1314">
        <f>IF(L361&lt;=0.5,0,IF(AND(L361&lt;=0.65,L361&gt;0.5),L361-0.5,IF(L361&gt;0.65,0.15)))</f>
        <v>0</v>
      </c>
      <c r="M363" s="1314">
        <f>IF(M361&lt;=0.5,0,IF(AND(M361&lt;=0.65,M361&gt;0.5),M361-0.5,IF(M361&gt;0.65,0.15)))</f>
        <v>0</v>
      </c>
      <c r="N363" s="1315">
        <f>IF(N361&lt;=0.5,0,IF(AND(N361&lt;=0.65,N361&gt;0.5),N361-0.5,IF(N361&gt;0.65,0.15)))</f>
        <v>0</v>
      </c>
      <c r="O363" s="437"/>
      <c r="P363" s="429"/>
      <c r="Q363" s="1314">
        <f t="shared" si="88"/>
        <v>0</v>
      </c>
      <c r="R363" s="1314">
        <f t="shared" si="85"/>
        <v>0</v>
      </c>
      <c r="S363" s="1314">
        <f t="shared" si="86"/>
        <v>0</v>
      </c>
      <c r="T363" s="1315">
        <f t="shared" si="87"/>
        <v>0</v>
      </c>
      <c r="U363" s="437"/>
      <c r="V363" s="429"/>
      <c r="W363" s="1314">
        <f>IF(W361&lt;=0.5,0,IF(AND(W361&lt;=0.65,W361&gt;0.5),W361-0.5,IF(W361&gt;0.65,0.15)))</f>
        <v>0</v>
      </c>
      <c r="X363" s="1314">
        <f>IF(X361&lt;=0.5,0,IF(AND(X361&lt;=0.65,X361&gt;0.5),X361-0.5,IF(X361&gt;0.65,0.15)))</f>
        <v>0</v>
      </c>
      <c r="Y363" s="1314">
        <f>IF(Y361&lt;=0.5,0,IF(AND(Y361&lt;=0.65,Y361&gt;0.5),Y361-0.5,IF(Y361&gt;0.65,0.15)))</f>
        <v>0</v>
      </c>
      <c r="Z363" s="1315">
        <f>IF(Z361&lt;=0.5,0,IF(AND(Z361&lt;=0.65,Z361&gt;0.5),Z361-0.5,IF(Z361&gt;0.65,0.15)))</f>
        <v>0</v>
      </c>
      <c r="AA363" s="437"/>
      <c r="AB363" s="429"/>
      <c r="AC363" s="1314">
        <f>-IF(AC361&lt;=0.5,0,IF(AND(AC361&lt;=0.65,AC361&gt;0.5),AC361-0.5,IF(AC361&gt;0.65,0.15)))</f>
        <v>0</v>
      </c>
      <c r="AD363" s="1314">
        <f>-IF(AD361&lt;=0.5,0,IF(AND(AD361&lt;=0.65,AD361&gt;0.5),AD361-0.5,IF(AD361&gt;0.65,0.15)))</f>
        <v>0</v>
      </c>
      <c r="AE363" s="1314">
        <f>-IF(AE361&lt;=0.5,0,IF(AND(AE361&lt;=0.65,AE361&gt;0.5),AE361-0.5,IF(AE361&gt;0.65,0.15)))</f>
        <v>0</v>
      </c>
      <c r="AF363" s="1315">
        <f>-IF(AF361&lt;=0.5,0,IF(AND(AF361&lt;=0.65,AF361&gt;0.5),AF361-0.5,IF(AF361&gt;0.65,0.15)))</f>
        <v>0</v>
      </c>
      <c r="AG363" s="437"/>
      <c r="AH363" s="429"/>
      <c r="AI363" s="138"/>
      <c r="AJ363" s="313"/>
      <c r="AK363" s="313"/>
      <c r="AL363" s="313"/>
      <c r="AM363" s="313"/>
      <c r="AN363" s="313"/>
      <c r="AO363" s="354"/>
      <c r="AP363" s="354"/>
      <c r="AQ363" s="354"/>
      <c r="AR363" s="354"/>
      <c r="AS363" s="354"/>
      <c r="AT363" s="354"/>
      <c r="AU363" s="354"/>
      <c r="AV363" s="355"/>
      <c r="AW363" s="355"/>
      <c r="AX363" s="313"/>
      <c r="AY363" s="138"/>
      <c r="BB363" s="138"/>
      <c r="BC363" s="138"/>
      <c r="BD363" s="312"/>
      <c r="BE363" s="138"/>
      <c r="BF363" s="138"/>
      <c r="BG363" s="138"/>
      <c r="BH363" s="138"/>
      <c r="BI363" s="138"/>
    </row>
    <row r="364" spans="1:61" ht="15" customHeight="1">
      <c r="A364" s="313"/>
      <c r="B364" s="295"/>
      <c r="C364" s="284" t="str">
        <f>IF(Tool!$H$7="Français",G364,IF(Tool!$H$7="Italiano",I364,E364))</f>
        <v>Bei einer negativen oder nicht eindeutigen Antwort werden keine Punkte vergeben. Solche können jedoch anhand der Zusatzfragen gesammelt werden, im Idealfall auch bis zu einer 100 %igen Bewertung.</v>
      </c>
      <c r="D364" s="302"/>
      <c r="E364" s="1618" t="s">
        <v>1608</v>
      </c>
      <c r="F364" s="1634"/>
      <c r="G364" s="1638" t="s">
        <v>1974</v>
      </c>
      <c r="H364" s="302"/>
      <c r="I364" s="319" t="s">
        <v>1609</v>
      </c>
      <c r="J364" s="361"/>
      <c r="K364" s="1314">
        <f>IF(K361&lt;=0.65,0,IF(AND(K361&lt;=0.85,K361&gt;0.65),K361-0.65,IF(K361&gt;0.85,0.2)))</f>
        <v>0</v>
      </c>
      <c r="L364" s="1314">
        <f>IF(L361&lt;=0.65,0,IF(AND(L361&lt;=0.85,L361&gt;0.65),L361-0.65,IF(L361&gt;0.85,0.2)))</f>
        <v>0</v>
      </c>
      <c r="M364" s="1314">
        <f>IF(M361&lt;=0.65,0,IF(AND(M361&lt;=0.85,M361&gt;0.65),M361-0.65,IF(M361&gt;0.85,0.2)))</f>
        <v>0</v>
      </c>
      <c r="N364" s="1315">
        <f>IF(N361&lt;=0.65,0,IF(AND(N361&lt;=0.85,N361&gt;0.65),N361-0.65,IF(N361&gt;0.85,0.2)))</f>
        <v>0</v>
      </c>
      <c r="O364" s="437"/>
      <c r="P364" s="429"/>
      <c r="Q364" s="1314">
        <f t="shared" si="88"/>
        <v>0</v>
      </c>
      <c r="R364" s="1314">
        <f t="shared" si="85"/>
        <v>0</v>
      </c>
      <c r="S364" s="1314">
        <f t="shared" si="86"/>
        <v>0</v>
      </c>
      <c r="T364" s="1315">
        <f t="shared" si="87"/>
        <v>0</v>
      </c>
      <c r="U364" s="437"/>
      <c r="V364" s="429"/>
      <c r="W364" s="1314">
        <f>IF(W361&lt;=0.65,0,IF(AND(W361&lt;=0.85,W361&gt;0.65),W361-0.65,IF(W361&gt;0.85,0.2)))</f>
        <v>0</v>
      </c>
      <c r="X364" s="1314">
        <f>IF(X361&lt;=0.65,0,IF(AND(X361&lt;=0.85,X361&gt;0.65),X361-0.65,IF(X361&gt;0.85,0.2)))</f>
        <v>0</v>
      </c>
      <c r="Y364" s="1314">
        <f>IF(Y361&lt;=0.65,0,IF(AND(Y361&lt;=0.85,Y361&gt;0.65),Y361-0.65,IF(Y361&gt;0.85,0.2)))</f>
        <v>0</v>
      </c>
      <c r="Z364" s="1315">
        <f>IF(Z361&lt;=0.65,0,IF(AND(Z361&lt;=0.85,Z361&gt;0.65),Z361-0.65,IF(Z361&gt;0.85,0.2)))</f>
        <v>0</v>
      </c>
      <c r="AA364" s="437"/>
      <c r="AB364" s="429"/>
      <c r="AC364" s="1314">
        <f>-IF(AC361&lt;=0.65,0,IF(AND(AC361&lt;=0.85,AC361&gt;0.65),AC361-0.65,IF(AC361&gt;0.85,0.2)))</f>
        <v>0</v>
      </c>
      <c r="AD364" s="1314">
        <f>-IF(AD361&lt;=0.65,0,IF(AND(AD361&lt;=0.85,AD361&gt;0.65),AD361-0.65,IF(AD361&gt;0.85,0.2)))</f>
        <v>0</v>
      </c>
      <c r="AE364" s="1314">
        <f>-IF(AE361&lt;=0.65,0,IF(AND(AE361&lt;=0.85,AE361&gt;0.65),AE361-0.65,IF(AE361&gt;0.85,0.2)))</f>
        <v>0</v>
      </c>
      <c r="AF364" s="1315">
        <f>-IF(AF361&lt;=0.65,0,IF(AND(AF361&lt;=0.85,AF361&gt;0.65),AF361-0.65,IF(AF361&gt;0.85,0.2)))</f>
        <v>0</v>
      </c>
      <c r="AG364" s="437"/>
      <c r="AH364" s="429"/>
      <c r="AI364" s="138"/>
      <c r="AJ364" s="313"/>
      <c r="AK364" s="313"/>
      <c r="AL364" s="313"/>
      <c r="AM364" s="313"/>
      <c r="AN364" s="313"/>
      <c r="AO364" s="354"/>
      <c r="AP364" s="354"/>
      <c r="AQ364" s="354"/>
      <c r="AR364" s="354"/>
      <c r="AS364" s="354"/>
      <c r="AT364" s="354"/>
      <c r="AU364" s="354"/>
      <c r="AV364" s="353"/>
      <c r="AW364" s="355"/>
      <c r="AX364" s="313"/>
      <c r="AY364" s="138"/>
      <c r="BB364" s="138"/>
      <c r="BC364" s="138"/>
      <c r="BD364" s="313"/>
      <c r="BE364" s="138"/>
      <c r="BF364" s="138"/>
      <c r="BG364" s="138"/>
      <c r="BH364" s="138"/>
      <c r="BI364" s="138"/>
    </row>
    <row r="365" spans="1:61" ht="15" customHeight="1">
      <c r="A365" s="313"/>
      <c r="B365" s="295"/>
      <c r="C365" s="284" t="str">
        <f>IF(Tool!$H$7="Français",G365,IF(Tool!$H$7="Italiano",I365,E365))</f>
        <v>Eine positive Antwort ergibt 100 % der Nachhaltigkeitsbewertung.</v>
      </c>
      <c r="D365" s="302"/>
      <c r="E365" s="1618" t="s">
        <v>1100</v>
      </c>
      <c r="F365" s="1634"/>
      <c r="G365" s="1618" t="s">
        <v>1975</v>
      </c>
      <c r="H365" s="302"/>
      <c r="I365" s="319" t="s">
        <v>1127</v>
      </c>
      <c r="J365" s="361"/>
      <c r="K365" s="1316">
        <f>IF(K361&lt;=0.85,0,IF(AND(K361&lt;=1,K361&gt;0.85),K361-0.85,IF(K361&gt;1,0.15)))</f>
        <v>0</v>
      </c>
      <c r="L365" s="1316">
        <f>IF(L361&lt;=0.85,0,IF(AND(L361&lt;=1,L361&gt;0.85),L361-0.85,IF(L361&gt;1,0.15)))</f>
        <v>0</v>
      </c>
      <c r="M365" s="1316">
        <f>IF(M361&lt;=0.85,0,IF(AND(M361&lt;=1,M361&gt;0.85),M361-0.85,IF(M361&gt;1,0.15)))</f>
        <v>0</v>
      </c>
      <c r="N365" s="1317">
        <f>IF(N361&lt;=0.85,0,IF(AND(N361&lt;=1,N361&gt;0.85),N361-0.85,IF(N361&gt;1,0.15)))</f>
        <v>0</v>
      </c>
      <c r="O365" s="442"/>
      <c r="P365" s="38"/>
      <c r="Q365" s="1316">
        <f t="shared" si="88"/>
        <v>0</v>
      </c>
      <c r="R365" s="1316">
        <f t="shared" si="85"/>
        <v>0</v>
      </c>
      <c r="S365" s="1316">
        <f t="shared" si="86"/>
        <v>0</v>
      </c>
      <c r="T365" s="1317">
        <f t="shared" si="87"/>
        <v>0</v>
      </c>
      <c r="U365" s="442"/>
      <c r="V365" s="38"/>
      <c r="W365" s="1316">
        <f>IF(W361&lt;=0.85,0,IF(AND(W361&lt;=1,W361&gt;0.85),W361-0.85,IF(W361&gt;1,0.15)))</f>
        <v>0</v>
      </c>
      <c r="X365" s="1316">
        <f>IF(X361&lt;=0.85,0,IF(AND(X361&lt;=1,X361&gt;0.85),X361-0.85,IF(X361&gt;1,0.15)))</f>
        <v>0</v>
      </c>
      <c r="Y365" s="1316">
        <f>IF(Y361&lt;=0.85,0,IF(AND(Y361&lt;=1,Y361&gt;0.85),Y361-0.85,IF(Y361&gt;1,0.15)))</f>
        <v>0</v>
      </c>
      <c r="Z365" s="1317">
        <f>IF(Z361&lt;=0.85,0,IF(AND(Z361&lt;=1,Z361&gt;0.85),Z361-0.85,IF(Z361&gt;1,0.15)))</f>
        <v>0</v>
      </c>
      <c r="AA365" s="442"/>
      <c r="AB365" s="38"/>
      <c r="AC365" s="1316">
        <f>-IF(AC361&lt;=0.85,0,IF(AND(AC361&lt;=1,AC361&gt;0.85),AC361-0.85,IF(AC361&gt;1,0.15)))</f>
        <v>0</v>
      </c>
      <c r="AD365" s="1316">
        <f>-IF(AD361&lt;=0.85,0,IF(AND(AD361&lt;=1,AD361&gt;0.85),AD361-0.85,IF(AD361&gt;1,0.15)))</f>
        <v>0</v>
      </c>
      <c r="AE365" s="1316">
        <f>-IF(AE361&lt;=0.85,0,IF(AND(AE361&lt;=1,AE361&gt;0.85),AE361-0.85,IF(AE361&gt;1,0.15)))</f>
        <v>0</v>
      </c>
      <c r="AF365" s="1317">
        <f>-IF(AF361&lt;=0.85,0,IF(AND(AF361&lt;=1,AF361&gt;0.85),AF361-0.85,IF(AF361&gt;1,0.15)))</f>
        <v>0</v>
      </c>
      <c r="AG365" s="442"/>
      <c r="AH365" s="38"/>
      <c r="AI365" s="138"/>
      <c r="AJ365" s="313"/>
      <c r="AK365" s="313"/>
      <c r="AL365" s="313"/>
      <c r="AM365" s="313"/>
      <c r="AN365" s="313"/>
      <c r="AO365" s="354"/>
      <c r="AP365" s="354"/>
      <c r="AQ365" s="354"/>
      <c r="AR365" s="354"/>
      <c r="AS365" s="354"/>
      <c r="AT365" s="354"/>
      <c r="AU365" s="354"/>
      <c r="AV365" s="355"/>
      <c r="AW365" s="353"/>
      <c r="AX365" s="313"/>
      <c r="AY365" s="138"/>
      <c r="BB365" s="138"/>
      <c r="BC365" s="138"/>
      <c r="BD365" s="313"/>
      <c r="BE365" s="138"/>
      <c r="BF365" s="138"/>
      <c r="BG365" s="138"/>
      <c r="BH365" s="138"/>
      <c r="BI365" s="138"/>
    </row>
    <row r="366" spans="1:61" ht="15" customHeight="1">
      <c r="A366" s="313"/>
      <c r="B366" s="295"/>
      <c r="C366" s="284" t="str">
        <f>IF(Tool!$H$7="Français",G366,IF(Tool!$H$7="Italiano",I366,E366))</f>
        <v>Bei Fragen 1. Grades führt eine Antwort mit "Nein", "Teilweise" oder "Weiss nicht" zu Zusatzfragen.</v>
      </c>
      <c r="D366" s="302"/>
      <c r="E366" s="1618" t="s">
        <v>1101</v>
      </c>
      <c r="F366" s="1634"/>
      <c r="G366" s="1618" t="s">
        <v>1967</v>
      </c>
      <c r="H366" s="302"/>
      <c r="I366" s="319" t="s">
        <v>1882</v>
      </c>
      <c r="J366" s="361"/>
      <c r="K366" s="1314">
        <f>IF(K361=1,0,
IF(K361&gt;=0.85,0.15-K365,
IF(K361&gt;=0.65,0.2-K364,
IF(K361&gt;0.5,0.15-K363,(IF(K361=0.5,0,(IF(K361=0,0.5,
0.5-K362))))))))</f>
        <v>0.5</v>
      </c>
      <c r="L366" s="1314">
        <f t="shared" ref="L366" si="89">IF(L361=1,0,
IF(L361&gt;=0.85,0.15-L365,
IF(L361&gt;=0.65,0.2-L364,
IF(L361&gt;0.5,0.15-L363,(IF(L361=0.5,0,(IF(L361=0,0.5,
0.5-L362))))))))</f>
        <v>0.5</v>
      </c>
      <c r="M366" s="1314">
        <f t="shared" ref="M366" si="90">IF(M361=1,0,
IF(M361&gt;=0.85,0.15-M365,
IF(M361&gt;=0.65,0.2-M364,
IF(M361&gt;0.5,0.15-M363,(IF(M361=0.5,0,(IF(M361=0,0.5,
0.5-M362))))))))</f>
        <v>0.5</v>
      </c>
      <c r="N366" s="1314">
        <f t="shared" ref="N366" si="91">IF(N361=1,0,
IF(N361&gt;=0.85,0.15-N365,
IF(N361&gt;=0.65,0.2-N364,
IF(N361&gt;0.5,0.15-N363,(IF(N361=0.5,0,(IF(N361=0,0.5,
0.5-N362))))))))</f>
        <v>0.5</v>
      </c>
      <c r="O366" s="442"/>
      <c r="P366" s="38"/>
      <c r="Q366" s="1314">
        <f t="shared" si="88"/>
        <v>-0.5</v>
      </c>
      <c r="R366" s="1314">
        <f t="shared" si="85"/>
        <v>-0.5</v>
      </c>
      <c r="S366" s="1314">
        <f t="shared" si="86"/>
        <v>-0.5</v>
      </c>
      <c r="T366" s="1314">
        <f t="shared" si="87"/>
        <v>-0.5</v>
      </c>
      <c r="U366" s="442"/>
      <c r="V366" s="38"/>
      <c r="W366" s="1314">
        <f>IF(W361=1,0,
IF(W361&gt;=0.85,0.15-W365,
IF(W361&gt;=0.65,0.2-W364,
IF(W361&gt;0.5,0.15-W363,(IF(W361=0.5,0,(IF(W361=0,0.5,
0.5-W362))))))))</f>
        <v>0.5</v>
      </c>
      <c r="X366" s="1314">
        <f t="shared" ref="X366" si="92">IF(X361=1,0,
IF(X361&gt;=0.85,0.15-X365,
IF(X361&gt;=0.65,0.2-X364,
IF(X361&gt;0.5,0.15-X363,(IF(X361=0.5,0,(IF(X361=0,0.5,
0.5-X362))))))))</f>
        <v>0.5</v>
      </c>
      <c r="Y366" s="1314">
        <f t="shared" ref="Y366" si="93">IF(Y361=1,0,
IF(Y361&gt;=0.85,0.15-Y365,
IF(Y361&gt;=0.65,0.2-Y364,
IF(Y361&gt;0.5,0.15-Y363,(IF(Y361=0.5,0,(IF(Y361=0,0.5,
0.5-Y362))))))))</f>
        <v>0.5</v>
      </c>
      <c r="Z366" s="1314">
        <f t="shared" ref="Z366" si="94">IF(Z361=1,0,
IF(Z361&gt;=0.85,0.15-Z365,
IF(Z361&gt;=0.65,0.2-Z364,
IF(Z361&gt;0.5,0.15-Z363,(IF(Z361=0.5,0,(IF(Z361=0,0.5,
0.5-Z362))))))))</f>
        <v>0.5</v>
      </c>
      <c r="AA366" s="442"/>
      <c r="AB366" s="38"/>
      <c r="AC366" s="1314">
        <f>-IF(AC361=1,0,
IF(AC361&gt;=0.85,0.15+AC365,
IF(AC361&gt;=0.65,0.2+AC364,
IF(AC361&gt;0.5,0.15+AC363,(IF(AC361=0.5,0,(IF(AC361=0,0.5,
0.5+AC362))))))))</f>
        <v>-0.5</v>
      </c>
      <c r="AD366" s="1314">
        <f>-IF(AD361=1,0,
IF(AD361&gt;=0.85,0.15+AD365,
IF(AD361&gt;=0.65,0.2+AD364,
IF(AD361&gt;0.5,0.15+AD363,(IF(AD361=0.5,0,(IF(AD361=0,0.5,
0.5+AD362))))))))</f>
        <v>-0.5</v>
      </c>
      <c r="AE366" s="1314">
        <f t="shared" ref="AE366" si="95">-IF(AE361=1,0,
IF(AE361&gt;=0.85,0.15+AE365,
IF(AE361&gt;=0.65,0.2+AE364,
IF(AE361&gt;0.5,0.15+AE363,(IF(AE361=0.5,0,(IF(AE361=0,0.5,
0.5+AE362))))))))</f>
        <v>-0.5</v>
      </c>
      <c r="AF366" s="1314">
        <f>-IF(AF361=1,0,
IF(AF361&gt;=0.85,0.15+AF365,
IF(AF361&gt;=0.65,0.2+AF364,
IF(AF361&gt;0.5,0.15+AF363,(IF(AF361=0.5,0,(IF(AF361=0,0.5,
0.5+AF362))))))))</f>
        <v>-0.5</v>
      </c>
      <c r="AG366" s="442"/>
      <c r="AH366" s="38"/>
      <c r="AI366" s="138"/>
      <c r="AJ366" s="313"/>
      <c r="AK366" s="313"/>
      <c r="AL366" s="313"/>
      <c r="AM366" s="313"/>
      <c r="AN366" s="313"/>
      <c r="AO366" s="354"/>
      <c r="AP366" s="354"/>
      <c r="AQ366" s="354"/>
      <c r="AR366" s="354"/>
      <c r="AS366" s="354"/>
      <c r="AT366" s="354"/>
      <c r="AU366" s="354"/>
      <c r="AV366" s="355"/>
      <c r="AW366" s="355"/>
      <c r="AX366" s="313"/>
      <c r="AY366" s="138"/>
      <c r="BB366" s="138"/>
      <c r="BC366" s="138"/>
      <c r="BD366" s="313"/>
      <c r="BE366" s="138"/>
      <c r="BF366" s="138"/>
      <c r="BG366" s="138"/>
      <c r="BH366" s="138"/>
      <c r="BI366" s="138"/>
    </row>
    <row r="367" spans="1:61" ht="15" customHeight="1">
      <c r="A367" s="313"/>
      <c r="B367" s="295"/>
      <c r="C367" s="284" t="str">
        <f>IF(Tool!$H$7="Français",G367,IF(Tool!$H$7="Italiano",I367,E367))</f>
        <v>Bei Fragen 2. Grades ergeben nicht eindeutige Antworten (z. B. ''weiss nicht'', ''teilweise'') – abhängig von der Fragenanzahl – zwischen 4 und 33 % der Nachhaltigkeitsbewertung, negative Antworten 0%.</v>
      </c>
      <c r="D367" s="302"/>
      <c r="E367" s="1618" t="s">
        <v>1972</v>
      </c>
      <c r="F367" s="1591"/>
      <c r="G367" s="1618" t="s">
        <v>1976</v>
      </c>
      <c r="H367" s="302"/>
      <c r="I367" s="319" t="s">
        <v>1973</v>
      </c>
      <c r="J367" s="361"/>
      <c r="K367" s="1314">
        <f>IF(K361&lt;=0.5,0.15,0)</f>
        <v>0.15</v>
      </c>
      <c r="L367" s="1314">
        <f>IF(L361&lt;=0.5,0.15,0)</f>
        <v>0.15</v>
      </c>
      <c r="M367" s="1314">
        <f>IF(M361&lt;=0.5,0.15,0)</f>
        <v>0.15</v>
      </c>
      <c r="N367" s="1314">
        <f>IF(N361&lt;=0.5,0.15,0)</f>
        <v>0.15</v>
      </c>
      <c r="O367" s="442"/>
      <c r="P367" s="38"/>
      <c r="Q367" s="1314">
        <f t="shared" si="88"/>
        <v>-0.15</v>
      </c>
      <c r="R367" s="1314">
        <f t="shared" si="85"/>
        <v>-0.15</v>
      </c>
      <c r="S367" s="1314">
        <f t="shared" si="86"/>
        <v>-0.15</v>
      </c>
      <c r="T367" s="1314">
        <f t="shared" si="87"/>
        <v>-0.15</v>
      </c>
      <c r="U367" s="442"/>
      <c r="V367" s="38"/>
      <c r="W367" s="1314">
        <f>IF(W361&lt;=0.5,0.15,0)</f>
        <v>0.15</v>
      </c>
      <c r="X367" s="1314">
        <f>IF(X361&lt;=0.5,0.15,0)</f>
        <v>0.15</v>
      </c>
      <c r="Y367" s="1314">
        <f>IF(Y361&lt;=0.5,0.15,0)</f>
        <v>0.15</v>
      </c>
      <c r="Z367" s="1314">
        <f>IF(Z361&lt;=0.5,0.15,0)</f>
        <v>0.15</v>
      </c>
      <c r="AA367" s="442"/>
      <c r="AB367" s="38"/>
      <c r="AC367" s="1314">
        <f>-IF(AC361&lt;=0.5,0.15,0)</f>
        <v>-0.15</v>
      </c>
      <c r="AD367" s="1314">
        <f>-IF(AD361&lt;=0.5,0.15,0)</f>
        <v>-0.15</v>
      </c>
      <c r="AE367" s="1314">
        <f>-IF(AE361&lt;=0.5,0.15,0)</f>
        <v>-0.15</v>
      </c>
      <c r="AF367" s="1314">
        <f>-IF(AF361&lt;=0.5,0.15,0)</f>
        <v>-0.15</v>
      </c>
      <c r="AG367" s="442"/>
      <c r="AH367" s="38"/>
      <c r="AI367" s="138"/>
      <c r="AJ367" s="313"/>
      <c r="AK367" s="313"/>
      <c r="AL367" s="313"/>
      <c r="AM367" s="313"/>
      <c r="AN367" s="313"/>
      <c r="AO367" s="354"/>
      <c r="AP367" s="354"/>
      <c r="AQ367" s="354"/>
      <c r="AR367" s="354"/>
      <c r="AS367" s="354"/>
      <c r="AT367" s="354"/>
      <c r="AU367" s="354"/>
      <c r="AV367" s="355"/>
      <c r="AW367" s="355"/>
      <c r="AX367" s="313"/>
      <c r="AY367" s="138"/>
      <c r="BB367" s="138"/>
      <c r="BC367" s="138"/>
      <c r="BD367" s="312"/>
      <c r="BE367" s="138"/>
      <c r="BF367" s="138"/>
      <c r="BG367" s="138"/>
      <c r="BH367" s="138"/>
      <c r="BI367" s="138"/>
    </row>
    <row r="368" spans="1:61" ht="15" customHeight="1">
      <c r="A368" s="313"/>
      <c r="B368" s="295"/>
      <c r="C368" s="284" t="str">
        <f>IF(Tool!$H$7="Français",G368,IF(Tool!$H$7="Italiano",I368,E368))</f>
        <v>Bei Fragen 2. Grades ergibt eine nicht eindeutige Antwort einen Erfüllungsgrad von 30 %.</v>
      </c>
      <c r="D368" s="302"/>
      <c r="E368" s="1618" t="s">
        <v>1616</v>
      </c>
      <c r="F368" s="1591"/>
      <c r="G368" s="1618" t="s">
        <v>1617</v>
      </c>
      <c r="H368" s="302"/>
      <c r="I368" s="319" t="s">
        <v>1618</v>
      </c>
      <c r="J368" s="361"/>
      <c r="K368" s="1314">
        <f>IF(K361&lt;=0.65,0.2,0)</f>
        <v>0.2</v>
      </c>
      <c r="L368" s="1314">
        <f>IF(L361&lt;=0.65,0.2,0)</f>
        <v>0.2</v>
      </c>
      <c r="M368" s="1314">
        <f>IF(M361&lt;=0.65,0.2,0)</f>
        <v>0.2</v>
      </c>
      <c r="N368" s="1314">
        <f>IF(N361&lt;=0.65,0.2,0)</f>
        <v>0.2</v>
      </c>
      <c r="O368" s="442"/>
      <c r="P368" s="38"/>
      <c r="Q368" s="1314">
        <f t="shared" si="88"/>
        <v>-0.2</v>
      </c>
      <c r="R368" s="1314">
        <f t="shared" si="85"/>
        <v>-0.2</v>
      </c>
      <c r="S368" s="1314">
        <f t="shared" si="86"/>
        <v>-0.2</v>
      </c>
      <c r="T368" s="1314">
        <f t="shared" si="87"/>
        <v>-0.2</v>
      </c>
      <c r="U368" s="442"/>
      <c r="V368" s="38"/>
      <c r="W368" s="1314">
        <f>IF(W361&lt;=0.65,0.2,0)</f>
        <v>0.2</v>
      </c>
      <c r="X368" s="1314">
        <f>IF(X361&lt;=0.65,0.2,0)</f>
        <v>0.2</v>
      </c>
      <c r="Y368" s="1314">
        <f>IF(Y361&lt;=0.65,0.2,0)</f>
        <v>0.2</v>
      </c>
      <c r="Z368" s="1314">
        <f>IF(Z361&lt;=0.65,0.2,0)</f>
        <v>0.2</v>
      </c>
      <c r="AA368" s="442"/>
      <c r="AB368" s="38"/>
      <c r="AC368" s="1314">
        <f>-IF(AC361&lt;=0.65,0.2,0)</f>
        <v>-0.2</v>
      </c>
      <c r="AD368" s="1314">
        <f>-IF(AD361&lt;=0.65,0.2,0)</f>
        <v>-0.2</v>
      </c>
      <c r="AE368" s="1314">
        <f>-IF(AE361&lt;=0.65,0.2,0)</f>
        <v>-0.2</v>
      </c>
      <c r="AF368" s="1314">
        <f>-IF(AF361&lt;=0.65,0.2,0)</f>
        <v>-0.2</v>
      </c>
      <c r="AG368" s="442"/>
      <c r="AH368" s="38"/>
      <c r="AI368" s="138"/>
      <c r="AJ368" s="313"/>
      <c r="AK368" s="313"/>
      <c r="AL368" s="313"/>
      <c r="AM368" s="313"/>
      <c r="AN368" s="313"/>
      <c r="AO368" s="354"/>
      <c r="AP368" s="354"/>
      <c r="AQ368" s="354"/>
      <c r="AR368" s="354"/>
      <c r="AS368" s="354"/>
      <c r="AT368" s="354"/>
      <c r="AU368" s="354"/>
      <c r="AV368" s="355"/>
      <c r="AW368" s="355"/>
      <c r="AX368" s="138"/>
      <c r="AY368" s="138"/>
      <c r="BB368" s="138"/>
      <c r="BC368" s="138"/>
      <c r="BD368" s="313"/>
      <c r="BE368" s="138"/>
      <c r="BF368" s="138"/>
      <c r="BG368" s="138"/>
      <c r="BH368" s="138"/>
      <c r="BI368" s="138"/>
    </row>
    <row r="369" spans="1:61" ht="15" customHeight="1">
      <c r="A369" s="313"/>
      <c r="B369" s="295"/>
      <c r="C369" s="284" t="str">
        <f>IF(Tool!$H$7="Français",G369,IF(Tool!$H$7="Italiano",I369,E369))</f>
        <v xml:space="preserve">Eine negative Antwort ergibt keine Punkte. </v>
      </c>
      <c r="D369" s="302"/>
      <c r="E369" s="1618" t="s">
        <v>1612</v>
      </c>
      <c r="F369" s="1634"/>
      <c r="G369" s="1618" t="s">
        <v>1613</v>
      </c>
      <c r="H369" s="302"/>
      <c r="I369" s="319" t="s">
        <v>1878</v>
      </c>
      <c r="J369" s="356"/>
      <c r="K369" s="1316">
        <f>IF(K361&lt;=0.85,0.15,0)</f>
        <v>0.15</v>
      </c>
      <c r="L369" s="1316">
        <f>IF(L361&lt;=0.85,0.15,0)</f>
        <v>0.15</v>
      </c>
      <c r="M369" s="1316">
        <f>IF(M361&lt;=0.85,0.15,0)</f>
        <v>0.15</v>
      </c>
      <c r="N369" s="1316">
        <f>IF(N361&lt;=0.85,0.15,0)</f>
        <v>0.15</v>
      </c>
      <c r="O369" s="443"/>
      <c r="P369" s="444"/>
      <c r="Q369" s="1316">
        <f t="shared" si="88"/>
        <v>-0.15</v>
      </c>
      <c r="R369" s="1316">
        <f t="shared" si="85"/>
        <v>-0.15</v>
      </c>
      <c r="S369" s="1316">
        <f t="shared" si="86"/>
        <v>-0.15</v>
      </c>
      <c r="T369" s="1316">
        <f t="shared" si="87"/>
        <v>-0.15</v>
      </c>
      <c r="U369" s="443"/>
      <c r="V369" s="444"/>
      <c r="W369" s="1316">
        <f>IF(W361&lt;=0.85,0.15,0)</f>
        <v>0.15</v>
      </c>
      <c r="X369" s="1316">
        <f>IF(X361&lt;=0.85,0.15,0)</f>
        <v>0.15</v>
      </c>
      <c r="Y369" s="1316">
        <f>IF(Y361&lt;=0.85,0.15,0)</f>
        <v>0.15</v>
      </c>
      <c r="Z369" s="1316">
        <f>IF(Z361&lt;=0.85,0.15,0)</f>
        <v>0.15</v>
      </c>
      <c r="AA369" s="443"/>
      <c r="AB369" s="444"/>
      <c r="AC369" s="1316">
        <f>-IF(AC361&lt;=0.85,0.15,0)</f>
        <v>-0.15</v>
      </c>
      <c r="AD369" s="1316">
        <f>-IF(AD361&lt;=0.85,0.15,0)</f>
        <v>-0.15</v>
      </c>
      <c r="AE369" s="1316">
        <f>-IF(AE361&lt;=0.85,0.15,0)</f>
        <v>-0.15</v>
      </c>
      <c r="AF369" s="1316">
        <f>-IF(AF361&lt;=0.85,0.15,0)</f>
        <v>-0.15</v>
      </c>
      <c r="AG369" s="443"/>
      <c r="AH369" s="444"/>
      <c r="AI369" s="138"/>
      <c r="AJ369" s="313"/>
      <c r="AK369" s="313"/>
      <c r="AL369" s="313"/>
      <c r="AM369" s="313"/>
      <c r="AN369" s="313"/>
      <c r="AO369" s="354"/>
      <c r="AP369" s="354"/>
      <c r="AQ369" s="354"/>
      <c r="AR369" s="354"/>
      <c r="AS369" s="354"/>
      <c r="AT369" s="354"/>
      <c r="AU369" s="354"/>
      <c r="AV369" s="355"/>
      <c r="AW369" s="355"/>
      <c r="AX369" s="138"/>
      <c r="AY369" s="138"/>
      <c r="BB369" s="138"/>
      <c r="BC369" s="138"/>
      <c r="BD369" s="313"/>
      <c r="BE369" s="138"/>
      <c r="BF369" s="138"/>
      <c r="BG369" s="138"/>
      <c r="BH369" s="138"/>
      <c r="BI369" s="138"/>
    </row>
    <row r="370" spans="1:61" ht="15" customHeight="1">
      <c r="A370" s="313"/>
      <c r="B370" s="295"/>
      <c r="C370" s="284" t="str">
        <f>IF(Tool!$H$7="Français",G370,IF(Tool!$H$7="Italiano",I370,E370))</f>
        <v>Bei der ersten Frage wird durch positive Antwort 100 % der Bewertung erreicht. Das Kriterium 111 wird im Pre-Check somit als unproblematisch beurteilt.</v>
      </c>
      <c r="D370" s="300"/>
      <c r="E370" s="1618" t="s">
        <v>1610</v>
      </c>
      <c r="F370" s="1634"/>
      <c r="G370" s="1618" t="s">
        <v>1611</v>
      </c>
      <c r="H370" s="300"/>
      <c r="I370" s="319" t="s">
        <v>1879</v>
      </c>
      <c r="J370" s="290"/>
      <c r="K370" s="752" t="s">
        <v>1443</v>
      </c>
      <c r="L370" s="884"/>
      <c r="M370" s="884"/>
      <c r="N370" s="884"/>
      <c r="O370" s="884"/>
      <c r="P370" s="885"/>
      <c r="Q370" s="138"/>
      <c r="R370" s="138"/>
      <c r="S370" s="138"/>
      <c r="T370" s="138"/>
      <c r="U370" s="138"/>
      <c r="V370" s="138"/>
      <c r="W370" s="138"/>
      <c r="X370" s="138"/>
      <c r="Y370" s="138"/>
      <c r="Z370" s="138"/>
      <c r="AA370" s="138"/>
      <c r="AB370" s="138"/>
      <c r="AC370" s="138"/>
      <c r="AD370" s="138"/>
      <c r="AE370" s="138"/>
      <c r="AF370" s="138"/>
      <c r="AG370" s="138"/>
      <c r="AH370" s="138"/>
      <c r="AI370" s="138"/>
      <c r="AJ370" s="312"/>
      <c r="AK370" s="312"/>
      <c r="AL370" s="312"/>
      <c r="AM370" s="312"/>
      <c r="AN370" s="312"/>
      <c r="AO370" s="352"/>
      <c r="AP370" s="352"/>
      <c r="AQ370" s="352"/>
      <c r="AR370" s="352"/>
      <c r="AS370" s="352"/>
      <c r="AT370" s="352"/>
      <c r="AU370" s="352"/>
      <c r="AV370" s="355"/>
      <c r="AW370" s="355"/>
      <c r="AX370" s="138"/>
      <c r="AY370" s="138"/>
      <c r="BB370" s="138"/>
      <c r="BC370" s="138"/>
      <c r="BD370" s="313"/>
      <c r="BE370" s="138"/>
      <c r="BF370" s="138"/>
      <c r="BG370" s="138"/>
      <c r="BH370" s="138"/>
      <c r="BI370" s="138"/>
    </row>
    <row r="371" spans="1:61" ht="15" customHeight="1">
      <c r="A371" s="313"/>
      <c r="B371" s="295"/>
      <c r="C371" s="284" t="str">
        <f>IF(Tool!$H$7="Français",G371,IF(Tool!$H$7="Italiano",I371,E371))</f>
        <v xml:space="preserve">Beim Krieterium 112 wird durch die Antworten ''Ja'', ''Weiss nicht'' und ''Nein" der Zusatzfragen der prozentuale Erfüllungsgrad beim Kriterium bestimmt: im Beispiel 43 %. Die Summe von ''ja''-Antworten ergibt jeweils 100 %, ''weiss nicht''-Antworten ergeben summiert 30 % der Erfüllungsgrads. Eine negative Antwort ergibt keine Punkte. </v>
      </c>
      <c r="D371" s="302"/>
      <c r="E371" s="1618" t="s">
        <v>1615</v>
      </c>
      <c r="F371" s="1634"/>
      <c r="G371" s="1618" t="s">
        <v>1614</v>
      </c>
      <c r="H371" s="302"/>
      <c r="I371" s="320" t="s">
        <v>1880</v>
      </c>
      <c r="J371" s="290"/>
      <c r="K371" s="628" t="s">
        <v>0</v>
      </c>
      <c r="L371" s="629" t="s">
        <v>20</v>
      </c>
      <c r="M371" s="629" t="s">
        <v>21</v>
      </c>
      <c r="N371" s="440"/>
      <c r="O371" s="445"/>
      <c r="P371" s="441"/>
      <c r="Q371" s="138"/>
      <c r="R371" s="138"/>
      <c r="S371" s="138"/>
      <c r="T371" s="138"/>
      <c r="U371" s="138"/>
      <c r="V371" s="138"/>
      <c r="W371" s="138"/>
      <c r="X371" s="138"/>
      <c r="Y371" s="138"/>
      <c r="Z371" s="138"/>
      <c r="AA371" s="138"/>
      <c r="AB371" s="138"/>
      <c r="AC371" s="138"/>
      <c r="AD371" s="138"/>
      <c r="AE371" s="138"/>
      <c r="AF371" s="138"/>
      <c r="AG371" s="138"/>
      <c r="AH371" s="138"/>
      <c r="AI371" s="138"/>
      <c r="AJ371" s="313"/>
      <c r="AK371" s="313"/>
      <c r="AL371" s="313"/>
      <c r="AM371" s="313"/>
      <c r="AN371" s="313"/>
      <c r="AO371" s="354"/>
      <c r="AP371" s="354"/>
      <c r="AQ371" s="354"/>
      <c r="AR371" s="354"/>
      <c r="AS371" s="354"/>
      <c r="AT371" s="354"/>
      <c r="AU371" s="354"/>
      <c r="AV371" s="355"/>
      <c r="AW371" s="355"/>
      <c r="AX371" s="138"/>
      <c r="AY371" s="138"/>
      <c r="BB371" s="138"/>
      <c r="BC371" s="138"/>
      <c r="BD371" s="313"/>
      <c r="BE371" s="138"/>
      <c r="BF371" s="138"/>
      <c r="BG371" s="138"/>
      <c r="BH371" s="138"/>
      <c r="BI371" s="138"/>
    </row>
    <row r="372" spans="1:61" ht="15" customHeight="1">
      <c r="A372" s="313"/>
      <c r="B372" s="293" t="s">
        <v>234</v>
      </c>
      <c r="C372" s="869" t="str">
        <f>IF(Tool!$H$7="Français",G372,IF(Tool!$H$7="Italiano",I372,E372))</f>
        <v>Abbildung I</v>
      </c>
      <c r="D372" s="463" t="s">
        <v>234</v>
      </c>
      <c r="E372" s="1620" t="s">
        <v>168</v>
      </c>
      <c r="F372" s="1639" t="s">
        <v>234</v>
      </c>
      <c r="G372" s="1636" t="s">
        <v>133</v>
      </c>
      <c r="H372" s="463"/>
      <c r="I372" s="332" t="s">
        <v>1128</v>
      </c>
      <c r="J372" s="290"/>
      <c r="K372" s="695">
        <f>Q332</f>
        <v>0</v>
      </c>
      <c r="L372" s="695">
        <f>Q333</f>
        <v>0</v>
      </c>
      <c r="M372" s="696">
        <f>Q334</f>
        <v>0</v>
      </c>
      <c r="N372" s="442"/>
      <c r="O372" s="1"/>
      <c r="P372" s="38"/>
      <c r="Q372" s="138"/>
      <c r="R372" s="138"/>
      <c r="S372" s="138"/>
      <c r="T372" s="138"/>
      <c r="U372" s="138"/>
      <c r="V372" s="138"/>
      <c r="W372" s="138"/>
      <c r="X372" s="138"/>
      <c r="Y372" s="138"/>
      <c r="Z372" s="138"/>
      <c r="AA372" s="138"/>
      <c r="AB372" s="138"/>
      <c r="AC372" s="138"/>
      <c r="AD372" s="138"/>
      <c r="AE372" s="138"/>
      <c r="AF372" s="138"/>
      <c r="AG372" s="138"/>
      <c r="AH372" s="138"/>
      <c r="AI372" s="138"/>
      <c r="AJ372" s="313"/>
      <c r="AK372" s="313"/>
      <c r="AL372" s="313"/>
      <c r="AM372" s="313"/>
      <c r="AN372" s="313"/>
      <c r="AO372" s="354"/>
      <c r="AP372" s="354"/>
      <c r="AQ372" s="354"/>
      <c r="AR372" s="354"/>
      <c r="AS372" s="354"/>
      <c r="AT372" s="354"/>
      <c r="AU372" s="354"/>
      <c r="AV372" s="355"/>
      <c r="AW372" s="355"/>
      <c r="AX372" s="138"/>
      <c r="AY372" s="138"/>
      <c r="BB372" s="138"/>
      <c r="BC372" s="138"/>
      <c r="BD372" s="313"/>
      <c r="BE372" s="311"/>
      <c r="BF372" s="311"/>
      <c r="BG372" s="311"/>
      <c r="BH372" s="311"/>
      <c r="BI372" s="311"/>
    </row>
    <row r="373" spans="1:61" ht="15" customHeight="1">
      <c r="A373" s="313"/>
      <c r="B373" s="333"/>
      <c r="C373" s="284" t="str">
        <f>IF(Tool!$H$7="Français",G373,IF(Tool!$H$7="Italiano",I373,E373))</f>
        <v>Die Ergebnisübersicht besteht aus zwei Teilen. Die erste Abbildung stellt ein Spinnendiagram dar. Dieses kann zur Analyse von Stärken und Schwächen eines Projekts verwendet werden, aber auch beim Vergleich verschiedener Projekte.</v>
      </c>
      <c r="D373" s="302"/>
      <c r="E373" s="1618" t="s">
        <v>430</v>
      </c>
      <c r="F373" s="1634"/>
      <c r="G373" s="972" t="s">
        <v>427</v>
      </c>
      <c r="H373" s="302"/>
      <c r="I373" s="319" t="s">
        <v>1881</v>
      </c>
      <c r="J373" s="290"/>
      <c r="K373" s="1321">
        <f>IF(K372&lt;=0.5,K372,IF(K372&gt;0.5,0.5))</f>
        <v>0</v>
      </c>
      <c r="L373" s="1321">
        <f>IF(L372&lt;=0.5,L372,IF(L372&gt;0.5,0.5))</f>
        <v>0</v>
      </c>
      <c r="M373" s="1321">
        <f>IF(M372&lt;=0.5,M372,IF(M372&gt;0.5,0.5))</f>
        <v>0</v>
      </c>
      <c r="N373" s="442"/>
      <c r="O373" s="13"/>
      <c r="P373" s="429"/>
      <c r="Q373" s="138"/>
      <c r="R373" s="138"/>
      <c r="S373" s="138"/>
      <c r="T373" s="138"/>
      <c r="U373" s="138"/>
      <c r="V373" s="138"/>
      <c r="W373" s="138"/>
      <c r="X373" s="138"/>
      <c r="Y373" s="138"/>
      <c r="Z373" s="138"/>
      <c r="AA373" s="138"/>
      <c r="AB373" s="138"/>
      <c r="AC373" s="138"/>
      <c r="AD373" s="138"/>
      <c r="AE373" s="138"/>
      <c r="AF373" s="138"/>
      <c r="AG373" s="138"/>
      <c r="AH373" s="138"/>
      <c r="AI373" s="138"/>
      <c r="AJ373" s="138"/>
      <c r="AK373" s="138"/>
      <c r="AL373" s="138"/>
      <c r="AM373" s="138"/>
      <c r="AN373" s="138"/>
      <c r="AO373" s="138"/>
      <c r="AP373" s="138"/>
      <c r="AQ373" s="138"/>
      <c r="AR373" s="138"/>
      <c r="AS373" s="138"/>
      <c r="AT373" s="138"/>
      <c r="AU373" s="138"/>
      <c r="AV373" s="138"/>
      <c r="AW373" s="138"/>
      <c r="AX373" s="138"/>
      <c r="AY373" s="138"/>
      <c r="BB373" s="138"/>
      <c r="BC373" s="138"/>
      <c r="BD373" s="138"/>
      <c r="BE373" s="138"/>
      <c r="BF373" s="138"/>
      <c r="BG373" s="138"/>
      <c r="BH373" s="138"/>
      <c r="BI373" s="138"/>
    </row>
    <row r="374" spans="1:61" ht="15" customHeight="1">
      <c r="A374" s="313"/>
      <c r="B374" s="333"/>
      <c r="C374" s="284" t="str">
        <f>IF(Tool!$H$7="Français",G374,IF(Tool!$H$7="Italiano",I374,E374))</f>
        <v>In der nebenstehenden Grafik kann folgendes abgelesen werden:</v>
      </c>
      <c r="D374" s="302"/>
      <c r="E374" s="1618" t="s">
        <v>170</v>
      </c>
      <c r="F374" s="1634"/>
      <c r="G374" s="972" t="s">
        <v>363</v>
      </c>
      <c r="H374" s="302"/>
      <c r="I374" s="319" t="s">
        <v>1130</v>
      </c>
      <c r="J374" s="290"/>
      <c r="K374" s="1322">
        <f>IF(K372&lt;=0.5,0,IF(AND(K372&lt;=0.65,K372&gt;0.5),K372-0.5,IF(K372&gt;0.65,0.15)))</f>
        <v>0</v>
      </c>
      <c r="L374" s="1322">
        <f>IF(L372&lt;=0.5,0,IF(AND(L372&lt;=0.65,L372&gt;0.5),L372-0.5,IF(L372&gt;0.65,0.15)))</f>
        <v>0</v>
      </c>
      <c r="M374" s="1322">
        <f>IF(M372&lt;=0.5,0,IF(AND(M372&lt;=0.65,M372&gt;0.5),M372-0.5,IF(M372&gt;0.65,0.15)))</f>
        <v>0</v>
      </c>
      <c r="N374" s="442"/>
      <c r="O374" s="13"/>
      <c r="P374" s="429"/>
      <c r="Q374" s="138"/>
      <c r="R374" s="138"/>
      <c r="S374" s="138"/>
      <c r="T374" s="138"/>
      <c r="U374" s="138"/>
      <c r="V374" s="138"/>
      <c r="W374" s="138"/>
      <c r="X374" s="138"/>
      <c r="Y374" s="138"/>
      <c r="Z374" s="138"/>
      <c r="AA374" s="138"/>
      <c r="AB374" s="138"/>
      <c r="AC374" s="138"/>
      <c r="AD374" s="138"/>
      <c r="AE374" s="138"/>
      <c r="AF374" s="138"/>
      <c r="AG374" s="138"/>
      <c r="AH374" s="138"/>
      <c r="AI374" s="138"/>
      <c r="AJ374" s="138"/>
      <c r="AK374" s="138"/>
      <c r="AL374" s="138"/>
      <c r="AM374" s="138"/>
      <c r="AN374" s="138"/>
      <c r="AO374" s="138"/>
      <c r="AP374" s="138"/>
      <c r="AQ374" s="138"/>
      <c r="AR374" s="138"/>
      <c r="AS374" s="138"/>
      <c r="AT374" s="138"/>
      <c r="AU374" s="138"/>
      <c r="AV374" s="138"/>
      <c r="AW374" s="138"/>
      <c r="AX374" s="138"/>
      <c r="AY374" s="138"/>
      <c r="BB374" s="138"/>
      <c r="BC374" s="138"/>
      <c r="BD374" s="138"/>
      <c r="BE374" s="138"/>
      <c r="BF374" s="138"/>
      <c r="BG374" s="138"/>
      <c r="BH374" s="138"/>
      <c r="BI374" s="138"/>
    </row>
    <row r="375" spans="1:61" ht="15" customHeight="1">
      <c r="A375" s="313"/>
      <c r="B375" s="333"/>
      <c r="C375" s="284" t="str">
        <f>IF(Tool!$H$7="Français",G375,IF(Tool!$H$7="Italiano",I375,E375))</f>
        <v>Bei den Umweltthemen (grün dargestellt) schneidet das Projekt besonders gut ab. Die Anforderungen der Kriterien werden grösstenteils erfüllt.</v>
      </c>
      <c r="D375" s="302"/>
      <c r="E375" s="1618" t="s">
        <v>1129</v>
      </c>
      <c r="F375" s="1634"/>
      <c r="G375" s="972" t="str">
        <f>"Dans les thèmes du domaine ''"&amp;AK46&amp;"'' (représentés en vert), le projet est particulièrement bien réfléchi et les critères sont majoritairement remplis."</f>
        <v>Dans les thèmes du domaine ''Umwelt'' (représentés en vert), le projet est particulièrement bien réfléchi et les critères sont majoritairement remplis.</v>
      </c>
      <c r="H375" s="302"/>
      <c r="I375" s="319" t="s">
        <v>1131</v>
      </c>
      <c r="J375" s="290"/>
      <c r="K375" s="1322">
        <f>IF(K372&lt;=0.65,0,IF(AND(K372&lt;=0.85,K372&gt;0.65),K372-0.65,IF(K372&gt;0.85,0.2)))</f>
        <v>0</v>
      </c>
      <c r="L375" s="1322">
        <f>IF(L372&lt;=0.65,0,IF(AND(L372&lt;=0.85,L372&gt;0.65),L372-0.65,IF(L372&gt;0.85,0.2)))</f>
        <v>0</v>
      </c>
      <c r="M375" s="1322">
        <f>IF(M372&lt;=0.65,0,IF(AND(M372&lt;=0.85,M372&gt;0.65),M372-0.65,IF(M372&gt;0.85,0.2)))</f>
        <v>0</v>
      </c>
      <c r="N375" s="442"/>
      <c r="O375" s="13"/>
      <c r="P375" s="429"/>
      <c r="Q375" s="138"/>
      <c r="R375" s="138"/>
      <c r="S375" s="138"/>
      <c r="T375" s="138"/>
      <c r="U375" s="138"/>
      <c r="V375" s="138"/>
      <c r="W375" s="138"/>
      <c r="X375" s="138"/>
      <c r="Y375" s="138"/>
      <c r="Z375" s="138"/>
      <c r="AA375" s="138"/>
      <c r="AB375" s="138"/>
      <c r="AC375" s="138"/>
      <c r="AD375" s="138"/>
      <c r="AE375" s="138"/>
      <c r="AF375" s="138"/>
      <c r="AG375" s="138"/>
      <c r="AH375" s="138"/>
      <c r="AI375" s="138"/>
      <c r="AJ375" s="313"/>
      <c r="AK375" s="313"/>
      <c r="AL375" s="313"/>
      <c r="AM375" s="313"/>
      <c r="AN375" s="313"/>
      <c r="AO375" s="354"/>
      <c r="AP375" s="354"/>
      <c r="AQ375" s="354"/>
      <c r="AR375" s="354"/>
      <c r="AS375" s="354"/>
      <c r="AT375" s="354"/>
      <c r="AU375" s="354"/>
      <c r="AV375" s="353"/>
      <c r="AW375" s="355"/>
      <c r="AX375" s="138"/>
      <c r="AY375" s="138"/>
      <c r="BB375" s="138"/>
      <c r="BC375" s="138"/>
      <c r="BD375" s="138"/>
      <c r="BE375" s="138"/>
      <c r="BF375" s="138"/>
      <c r="BG375" s="138"/>
      <c r="BH375" s="138"/>
      <c r="BI375" s="138"/>
    </row>
    <row r="376" spans="1:61" ht="15" customHeight="1">
      <c r="A376" s="313"/>
      <c r="B376" s="333"/>
      <c r="C376" s="284" t="str">
        <f>IF(Tool!$H$7="Français",G376,IF(Tool!$H$7="Italiano",I376,E376))</f>
        <v>Im Bereich ''Gesellschaft'' (rot dargestellt) schneidet das Projekt beim Thema ''Wohlbefinden &amp; Gesundheit'' eher schlecht ab. Vor allem die Kriterien 141 ''Raumluftqualität'', 143 ''Mikroklima''und 144 ''Sommerlicher Wärmeschutz'' sollte eine Nachbesserung überprüft werden.</v>
      </c>
      <c r="D376" s="302"/>
      <c r="E376" s="1618" t="str">
        <f>"Im Bereich ''Gesellschaft'' (rot dargestellt) schneidet das Projekt beim Thema ''"&amp;AL30&amp;"'' eher schlecht ab. Vor allem die Kriterien "&amp;AQ30&amp;" ''"&amp;AR30&amp;"'', "&amp;AQ32&amp;" ''"&amp;AR32&amp;"''und "&amp;AQ33&amp;" ''"&amp;AR33&amp;"'' sollte eine Nachbesserung überprüft werden."</f>
        <v>Im Bereich ''Gesellschaft'' (rot dargestellt) schneidet das Projekt beim Thema ''Wohlbefinden &amp; Gesundheit'' eher schlecht ab. Vor allem die Kriterien 141 ''Raumluftqualität'', 143 ''Mikroklima''und 144 ''Sommerlicher Wärmeschutz'' sollte eine Nachbesserung überprüft werden.</v>
      </c>
      <c r="F376" s="1634"/>
      <c r="G376" s="972" t="str">
        <f>"Dans les thèmes du domaine ''"&amp;AK23&amp;"'' (représentés en rouge), le projet semble faible sur les valeurs de ''"&amp;AL30&amp;"''. Des critères tels que la "&amp;AQ30&amp;" ''"&amp;AR30&amp;"'', "&amp;AQ32&amp;" ''"&amp;AR32&amp;"''und "&amp;AQ33&amp;" ''"&amp;AR33&amp;"''  probablement être retravaillés."</f>
        <v>Dans les thèmes du domaine ''Gesellschaft'' (représentés en rouge), le projet semble faible sur les valeurs de ''Wohlbefinden &amp; Gesundheit''. Des critères tels que la 141 ''Raumluftqualität'', 143 ''Mikroklima''und 144 ''Sommerlicher Wärmeschutz''  probablement être retravaillés.</v>
      </c>
      <c r="H376" s="302"/>
      <c r="I376" s="319" t="str">
        <f>"Nell'area ''Società'' (indicata in rosso), il progetto ottiene un punteggio piuttosto basso nei temi ''"&amp;AL30&amp;"''. In particolare, i criteri "&amp;AQ30&amp;" ''"&amp;AR30&amp;"'', "&amp;AQ32&amp;" ''"&amp;AR32&amp;"'' e "&amp;AQ33&amp;" ''"&amp;AR33&amp;"'' dovrebbero essere rivisti per essere migliorati."</f>
      </c>
      <c r="J376" s="290"/>
      <c r="K376" s="1324">
        <f>IF(K372&lt;=0.85,0,IF(AND(K372&lt;=1,K372&gt;0.85),K372-0.85,IF(K372&gt;1,0.15)))</f>
        <v>0</v>
      </c>
      <c r="L376" s="1324">
        <f>IF(L372&lt;=0.85,0,IF(AND(L372&lt;=1,L372&gt;0.85),L372-0.85,IF(L372&gt;1,0.15)))</f>
        <v>0</v>
      </c>
      <c r="M376" s="1323">
        <f>IF(M372&lt;=0.85,0,IF(AND(M372&lt;=1,M372&gt;0.85),M372-0.85,IF(M372&gt;1,0.15)))</f>
        <v>0</v>
      </c>
      <c r="N376" s="442"/>
      <c r="O376" s="1"/>
      <c r="P376" s="38"/>
      <c r="Q376" s="138"/>
      <c r="R376" s="138"/>
      <c r="S376" s="138"/>
      <c r="T376" s="138"/>
      <c r="U376" s="138"/>
      <c r="V376" s="138"/>
      <c r="W376" s="138"/>
      <c r="X376" s="138"/>
      <c r="Y376" s="138"/>
      <c r="Z376" s="138"/>
      <c r="AA376" s="138"/>
      <c r="AB376" s="138"/>
      <c r="AC376" s="138"/>
      <c r="AD376" s="138"/>
      <c r="AE376" s="138"/>
      <c r="AF376" s="138"/>
      <c r="AG376" s="138"/>
      <c r="AH376" s="138"/>
      <c r="AI376" s="138"/>
      <c r="AJ376" s="313"/>
      <c r="AK376" s="313"/>
      <c r="AL376" s="313"/>
      <c r="AM376" s="313"/>
      <c r="AN376" s="313"/>
      <c r="AO376" s="354"/>
      <c r="AP376" s="354"/>
      <c r="AQ376" s="354"/>
      <c r="AR376" s="354"/>
      <c r="AS376" s="354"/>
      <c r="AT376" s="354"/>
      <c r="AU376" s="354"/>
      <c r="AV376" s="355"/>
      <c r="AW376" s="353"/>
      <c r="AX376" s="138"/>
      <c r="AY376" s="138"/>
      <c r="BB376" s="138"/>
      <c r="BC376" s="138"/>
      <c r="BD376" s="138"/>
      <c r="BE376" s="138"/>
      <c r="BF376" s="138"/>
      <c r="BG376" s="138"/>
      <c r="BH376" s="138"/>
      <c r="BI376" s="138"/>
    </row>
    <row r="377" spans="1:61" ht="15" customHeight="1">
      <c r="A377" s="313"/>
      <c r="B377" s="333"/>
      <c r="C377" s="284" t="str">
        <f>IF(Tool!$H$7="Français",G377,IF(Tool!$H$7="Italiano",I377,E377))</f>
        <v>Bei den Wirtschaftsthemen (blau dargestellt) schneidet das Projekt allgemein schwach ab. Der Umgang mit den Themen ''Lebenszyklus'' und ''Regionalökonomie'' sollte überdacht werden.</v>
      </c>
      <c r="D377" s="302"/>
      <c r="E377" s="1618" t="str">
        <f>"Bei den Wirtschaftsthemen (blau dargestellt) schneidet das Projekt allgemein schwach ab. Der Umgang mit den Themen ''"&amp;AL38&amp;"'' und ''"&amp;AL44&amp;"'' sollte überdacht werden."</f>
        <v>Bei den Wirtschaftsthemen (blau dargestellt) schneidet das Projekt allgemein schwach ab. Der Umgang mit den Themen ''Lebenszyklus'' und ''Regionalökonomie'' sollte überdacht werden.</v>
      </c>
      <c r="F377" s="1634"/>
      <c r="G377" s="972" t="str">
        <f>"Dans les thèmes du domaine ''Économie'', le projet présente des résultats particulièrement faibles. Le traitement du themes ''"&amp;AL38&amp;"'' und ''"&amp;AL44&amp;"'' devrait être repensé."</f>
        <v>Dans les thèmes du domaine ''Économie'', le projet présente des résultats particulièrement faibles. Le traitement du themes ''Lebenszyklus'' und ''Regionalökonomie'' devrait être repensé.</v>
      </c>
      <c r="H377" s="302"/>
      <c r="I377" s="319" t="str">
        <f>"In generale, il progetto si comporta male in termini economici (in blu). La gestione dei temi ''"&amp;AL38&amp;"'' e ''"&amp;AL44&amp;"'' dovrebbero essere rivisti per essere migliorati."</f>
        <v>In generale, il progetto si comporta male in termini economici (in blu). La gestione dei temi ''Lebenszyklus'' e ''Regionalökonomie'' dovrebbero essere rivisti per essere migliorati.</v>
      </c>
      <c r="J377" s="290"/>
      <c r="K377" s="1322">
        <f>IF(K372=1,0,
IF(K372&gt;=0.85,0.15-K376,
IF(K372&gt;=0.65,0.2-K375,
IF(K372&gt;0.5,0.15-K374,(IF(K372=0.5,0,(IF(K372=0,0.5,
0.5-K373))))))))</f>
        <v>0.5</v>
      </c>
      <c r="L377" s="1322">
        <f t="shared" ref="L377" si="96">IF(L372=1,0,
IF(L372&gt;=0.85,0.15-L376,
IF(L372&gt;=0.65,0.2-L375,
IF(L372&gt;0.5,0.15-L374,(IF(L372=0.5,0,(IF(L372=0,0.5,
0.5-L373))))))))</f>
        <v>0.5</v>
      </c>
      <c r="M377" s="1322">
        <f t="shared" ref="M377" si="97">IF(M372=1,0,
IF(M372&gt;=0.85,0.15-M376,
IF(M372&gt;=0.65,0.2-M375,
IF(M372&gt;0.5,0.15-M374,(IF(M372=0.5,0,(IF(M372=0,0.5,
0.5-M373))))))))</f>
        <v>0.5</v>
      </c>
      <c r="N377" s="442"/>
      <c r="O377" s="1"/>
      <c r="P377" s="38"/>
      <c r="Q377" s="138"/>
      <c r="R377" s="138"/>
      <c r="S377" s="138"/>
      <c r="T377" s="138"/>
      <c r="U377" s="138"/>
      <c r="V377" s="138"/>
      <c r="W377" s="138"/>
      <c r="X377" s="138"/>
      <c r="Y377" s="138"/>
      <c r="Z377" s="138"/>
      <c r="AA377" s="138"/>
      <c r="AB377" s="138"/>
      <c r="AC377" s="138"/>
      <c r="AD377" s="138"/>
      <c r="AE377" s="138"/>
      <c r="AF377" s="138"/>
      <c r="AG377" s="138"/>
      <c r="AH377" s="138"/>
      <c r="AI377" s="138"/>
      <c r="AJ377" s="313"/>
      <c r="AK377" s="313"/>
      <c r="AL377" s="313"/>
      <c r="AM377" s="313"/>
      <c r="AN377" s="313"/>
      <c r="AO377" s="354"/>
      <c r="AP377" s="354"/>
      <c r="AQ377" s="354"/>
      <c r="AR377" s="354"/>
      <c r="AS377" s="354"/>
      <c r="AT377" s="354"/>
      <c r="AU377" s="354"/>
      <c r="AV377" s="355"/>
      <c r="AW377" s="355"/>
      <c r="AX377" s="138"/>
      <c r="AY377" s="313"/>
      <c r="BB377" s="313"/>
      <c r="BC377" s="313"/>
      <c r="BD377" s="138"/>
      <c r="BE377" s="138"/>
      <c r="BF377" s="138"/>
      <c r="BG377" s="138"/>
      <c r="BH377" s="138"/>
      <c r="BI377" s="138"/>
    </row>
    <row r="378" spans="1:61" ht="15" customHeight="1">
      <c r="A378" s="313"/>
      <c r="B378" s="333"/>
      <c r="C378" s="284" t="str">
        <f>IF(Tool!$H$7="Français",G378,IF(Tool!$H$7="Italiano",I378,E378))</f>
        <v>Zur besseren Lesbarkeit der Ergebnisse werden die als "ungenügend" oder als "Stolperstein" bewerteten Kriterien in einer dritten Abbildung aufgezeigt (vgl. Liste unten).</v>
      </c>
      <c r="D378" s="302"/>
      <c r="E378" s="1618" t="s">
        <v>1995</v>
      </c>
      <c r="F378" s="1634"/>
      <c r="G378" s="972" t="s">
        <v>1996</v>
      </c>
      <c r="H378" s="302"/>
      <c r="I378" s="319" t="s">
        <v>2015</v>
      </c>
      <c r="J378" s="290"/>
      <c r="K378" s="1322">
        <f>IF(K372&lt;=0.5,0.15,0)</f>
        <v>0.15</v>
      </c>
      <c r="L378" s="1322">
        <f>IF(L372&lt;=0.5,0.15,0)</f>
        <v>0.15</v>
      </c>
      <c r="M378" s="1322">
        <f>IF(M372&lt;=0.5,0.15,0)</f>
        <v>0.15</v>
      </c>
      <c r="N378" s="442"/>
      <c r="O378" s="1"/>
      <c r="P378" s="38"/>
      <c r="Q378" s="138"/>
      <c r="R378" s="138"/>
      <c r="S378" s="138"/>
      <c r="T378" s="138"/>
      <c r="U378" s="138"/>
      <c r="V378" s="138"/>
      <c r="W378" s="138"/>
      <c r="X378" s="138"/>
      <c r="Y378" s="138"/>
      <c r="Z378" s="138"/>
      <c r="AA378" s="138"/>
      <c r="AB378" s="138"/>
      <c r="AC378" s="138"/>
      <c r="AD378" s="138"/>
      <c r="AE378" s="138"/>
      <c r="AF378" s="138"/>
      <c r="AG378" s="138"/>
      <c r="AH378" s="138"/>
      <c r="AI378" s="138"/>
      <c r="AJ378" s="138"/>
      <c r="AK378" s="138"/>
      <c r="AL378" s="138"/>
      <c r="AM378" s="138"/>
      <c r="AN378" s="138"/>
      <c r="AO378" s="138"/>
      <c r="AP378" s="138"/>
      <c r="AQ378" s="138"/>
      <c r="AR378" s="138"/>
      <c r="AS378" s="138"/>
      <c r="AT378" s="138"/>
      <c r="AU378" s="138"/>
      <c r="AV378" s="138"/>
      <c r="AW378" s="138"/>
      <c r="AX378" s="138"/>
      <c r="AY378" s="138"/>
      <c r="BB378" s="138"/>
      <c r="BC378" s="138"/>
      <c r="BD378" s="138"/>
      <c r="BE378" s="138"/>
      <c r="BF378" s="138"/>
      <c r="BG378" s="138"/>
      <c r="BH378" s="138"/>
      <c r="BI378" s="138"/>
    </row>
    <row r="379" spans="1:61" ht="15" customHeight="1">
      <c r="A379" s="313"/>
      <c r="B379" s="333"/>
      <c r="C379" s="284" t="str">
        <f>IF(Tool!$H$7="Français",G379,IF(Tool!$H$7="Italiano",I379,E379))</f>
        <v xml:space="preserve">Folgende Kriterien werden als "Stolpersteine" im Hinblick auf die Realisierung eines gesamtheitlich nachhaltigen Projektes identifiziert: </v>
      </c>
      <c r="D379" s="302"/>
      <c r="E379" s="1618" t="str">
        <f>E565</f>
        <v xml:space="preserve">Folgende Kriterien werden als "Stolpersteine" im Hinblick auf die Realisierung eines gesamtheitlich nachhaltigen Projektes identifiziert: </v>
      </c>
      <c r="F379" s="1634"/>
      <c r="G379" s="972" t="s">
        <v>1997</v>
      </c>
      <c r="H379" s="302"/>
      <c r="I379" s="319" t="s">
        <v>2016</v>
      </c>
      <c r="J379" s="364"/>
      <c r="K379" s="1322">
        <f>IF(K372&lt;=0.65,0.2,0)</f>
        <v>0.2</v>
      </c>
      <c r="L379" s="1322">
        <f>IF(L372&lt;=0.65,0.2,0)</f>
        <v>0.2</v>
      </c>
      <c r="M379" s="1322">
        <f>IF(M372&lt;=0.65,0.2,0)</f>
        <v>0.2</v>
      </c>
      <c r="N379" s="442"/>
      <c r="O379" s="1"/>
      <c r="P379" s="38"/>
      <c r="Q379" s="138"/>
      <c r="R379" s="138"/>
      <c r="S379" s="138"/>
      <c r="T379" s="138"/>
      <c r="U379" s="138"/>
      <c r="V379" s="138"/>
      <c r="W379" s="138"/>
      <c r="X379" s="138"/>
      <c r="Y379" s="138"/>
      <c r="Z379" s="138"/>
      <c r="AA379" s="138"/>
      <c r="AB379" s="138"/>
      <c r="AC379" s="138"/>
      <c r="AD379" s="138"/>
      <c r="AE379" s="138"/>
      <c r="AF379" s="138"/>
      <c r="AG379" s="138"/>
      <c r="AH379" s="138"/>
      <c r="AI379" s="138"/>
      <c r="AJ379" s="138"/>
      <c r="AK379" s="138"/>
      <c r="AL379" s="138"/>
      <c r="AM379" s="138"/>
      <c r="AN379" s="138"/>
      <c r="AO379" s="138"/>
      <c r="AP379" s="138"/>
      <c r="AQ379" s="138"/>
      <c r="AR379" s="138"/>
      <c r="AS379" s="138"/>
      <c r="AT379" s="138"/>
      <c r="AU379" s="138"/>
      <c r="AV379" s="138"/>
      <c r="AW379" s="138"/>
      <c r="AX379" s="138"/>
      <c r="AY379" s="138"/>
      <c r="BB379" s="138"/>
      <c r="BC379" s="138"/>
      <c r="BD379" s="138"/>
      <c r="BE379" s="138"/>
      <c r="BF379" s="138"/>
      <c r="BG379" s="138"/>
      <c r="BH379" s="138"/>
      <c r="BI379" s="138"/>
    </row>
    <row r="380" spans="1:61" ht="15" customHeight="1">
      <c r="A380" s="313"/>
      <c r="B380" s="333"/>
      <c r="C380" s="284" t="str">
        <f>IF(Tool!$H$7="Français",G380,IF(Tool!$H$7="Italiano",I380,E380))</f>
        <v>111 112 122 141 143 144 147</v>
      </c>
      <c r="D380" s="302"/>
      <c r="E380" s="1640" t="str">
        <f>""&amp;$AQ23&amp;" "&amp;$AQ24&amp;" "&amp;$AQ27&amp;" "&amp;$AQ30&amp;" "&amp;$AQ32&amp;" "&amp;$AQ33&amp;" "&amp;$AQ36&amp;""</f>
        <v>111 112 122 141 143 144 147</v>
      </c>
      <c r="F380" s="1634"/>
      <c r="G380" s="1618" t="str">
        <f>""&amp;$AQ23&amp;" "&amp;$AQ24&amp;" "&amp;$AQ27&amp;" "&amp;$AQ30&amp;" "&amp;$AQ32&amp;" "&amp;$AQ33&amp;" "&amp;$AQ36&amp;""</f>
        <v>111 112 122 141 143 144 147</v>
      </c>
      <c r="H380" s="302"/>
      <c r="I380" s="319" t="str">
        <f>""&amp;$AQ23&amp;" "&amp;$AQ24&amp;" "&amp;$AQ27&amp;" "&amp;$AQ30&amp;" "&amp;$AQ32&amp;" "&amp;$AQ33&amp;" "&amp;$AQ36&amp;""</f>
        <v>111 112 122 141 143 144 147</v>
      </c>
      <c r="J380" s="316"/>
      <c r="K380" s="1324">
        <f>IF(K372&lt;=0.85,0.15,0)</f>
        <v>0.15</v>
      </c>
      <c r="L380" s="1324">
        <f>IF(L372&lt;=0.85,0.15,0)</f>
        <v>0.15</v>
      </c>
      <c r="M380" s="1324">
        <f>IF(M372&lt;=0.85,0.15,0)</f>
        <v>0.15</v>
      </c>
      <c r="N380" s="443"/>
      <c r="O380" s="447"/>
      <c r="P380" s="444"/>
      <c r="Q380" s="138"/>
      <c r="R380" s="138"/>
      <c r="S380" s="138"/>
      <c r="T380" s="138"/>
      <c r="U380" s="138"/>
      <c r="V380" s="138"/>
      <c r="W380" s="138"/>
      <c r="X380" s="138"/>
      <c r="Y380" s="138"/>
      <c r="Z380" s="138"/>
      <c r="AA380" s="138"/>
      <c r="AB380" s="138"/>
      <c r="AC380" s="138"/>
      <c r="AD380" s="138"/>
      <c r="AE380" s="138"/>
      <c r="AF380" s="138"/>
      <c r="AG380" s="138"/>
      <c r="AH380" s="138"/>
      <c r="AI380" s="138"/>
      <c r="AJ380" s="138"/>
      <c r="AK380" s="138"/>
      <c r="AL380" s="138"/>
      <c r="AM380" s="138"/>
      <c r="AN380" s="138"/>
      <c r="AO380" s="138"/>
      <c r="AP380" s="138"/>
      <c r="AQ380" s="138"/>
      <c r="AR380" s="138"/>
      <c r="AS380" s="138"/>
      <c r="AT380" s="138"/>
      <c r="AU380" s="138"/>
      <c r="AV380" s="138"/>
      <c r="AW380" s="138"/>
      <c r="AX380" s="138"/>
      <c r="AY380" s="138"/>
      <c r="BB380" s="138"/>
      <c r="BC380" s="138"/>
      <c r="BD380" s="138"/>
      <c r="BE380" s="138"/>
      <c r="BF380" s="138"/>
      <c r="BG380" s="138"/>
      <c r="BH380" s="138"/>
      <c r="BI380" s="138"/>
    </row>
    <row r="381" spans="1:61" ht="15" customHeight="1">
      <c r="A381" s="313"/>
      <c r="B381" s="333"/>
      <c r="C381" s="284" t="str">
        <f>IF(Tool!$H$7="Français",G381,IF(Tool!$H$7="Italiano",I381,E381))</f>
        <v>212 213 231</v>
      </c>
      <c r="D381" s="302"/>
      <c r="E381" s="1618" t="str">
        <f>""&amp;$AQ39&amp;" "&amp;$AQ40&amp;" "&amp;$AQ44&amp;""</f>
        <v>212 213 231</v>
      </c>
      <c r="F381" s="1634"/>
      <c r="G381" s="1618" t="str">
        <f>""&amp;$AQ39&amp;" "&amp;$AQ40&amp;" "&amp;$AQ44&amp;""</f>
        <v>212 213 231</v>
      </c>
      <c r="H381" s="302"/>
      <c r="I381" s="319" t="str">
        <f>""&amp;$AQ39&amp;" "&amp;$AQ40&amp;" "&amp;$AQ44&amp;""</f>
        <v>212 213 231</v>
      </c>
      <c r="J381" s="316"/>
      <c r="K381" s="752" t="s">
        <v>446</v>
      </c>
      <c r="L381" s="884"/>
      <c r="M381" s="884"/>
      <c r="N381" s="884"/>
      <c r="O381" s="884"/>
      <c r="P381" s="885"/>
      <c r="Q381" s="752" t="s">
        <v>446</v>
      </c>
      <c r="R381" s="884"/>
      <c r="S381" s="884"/>
      <c r="T381" s="884"/>
      <c r="U381" s="884"/>
      <c r="V381" s="885"/>
      <c r="W381" s="752" t="s">
        <v>1599</v>
      </c>
      <c r="X381" s="884"/>
      <c r="Y381" s="884"/>
      <c r="Z381" s="884"/>
      <c r="AA381" s="884"/>
      <c r="AB381" s="885"/>
      <c r="AC381" s="138"/>
      <c r="AD381" s="138"/>
      <c r="AE381" s="138"/>
      <c r="AF381" s="138"/>
      <c r="AG381" s="138"/>
      <c r="AH381" s="138"/>
      <c r="AI381" s="138"/>
      <c r="AJ381" s="138"/>
      <c r="AK381" s="138"/>
      <c r="AL381" s="138"/>
      <c r="AM381" s="138"/>
      <c r="AN381" s="138"/>
      <c r="AO381" s="138"/>
      <c r="AP381" s="138"/>
      <c r="AQ381" s="138"/>
      <c r="AR381" s="138"/>
      <c r="AS381" s="138"/>
      <c r="AT381" s="138"/>
      <c r="AU381" s="138"/>
      <c r="AV381" s="138"/>
      <c r="AW381" s="138"/>
      <c r="AX381" s="138"/>
      <c r="AY381" s="138"/>
      <c r="BB381" s="138"/>
      <c r="BC381" s="138"/>
      <c r="BD381" s="138"/>
      <c r="BE381" s="138"/>
      <c r="BF381" s="138"/>
      <c r="BG381" s="138"/>
      <c r="BH381" s="138"/>
      <c r="BI381" s="138"/>
    </row>
    <row r="382" spans="1:61" ht="15" customHeight="1">
      <c r="A382" s="313"/>
      <c r="B382" s="334"/>
      <c r="C382" s="284"/>
      <c r="D382" s="303"/>
      <c r="E382" s="1619" t="str">
        <f>""</f>
        <v/>
      </c>
      <c r="F382" s="1641"/>
      <c r="G382" s="1619"/>
      <c r="H382" s="303"/>
      <c r="I382" s="1619" t="str">
        <f>""</f>
        <v/>
      </c>
      <c r="J382" s="316"/>
      <c r="K382" s="614" t="s">
        <v>0</v>
      </c>
      <c r="L382" s="603" t="s">
        <v>20</v>
      </c>
      <c r="M382" s="610" t="s">
        <v>21</v>
      </c>
      <c r="N382" s="636" t="s">
        <v>1479</v>
      </c>
      <c r="O382" s="445"/>
      <c r="P382" s="441"/>
      <c r="Q382" s="614" t="s">
        <v>0</v>
      </c>
      <c r="R382" s="603" t="s">
        <v>20</v>
      </c>
      <c r="S382" s="610" t="s">
        <v>21</v>
      </c>
      <c r="T382" s="636" t="s">
        <v>1479</v>
      </c>
      <c r="U382" s="445"/>
      <c r="V382" s="441"/>
      <c r="W382" s="614" t="s">
        <v>0</v>
      </c>
      <c r="X382" s="603" t="s">
        <v>20</v>
      </c>
      <c r="Y382" s="610" t="s">
        <v>21</v>
      </c>
      <c r="Z382" s="636" t="s">
        <v>567</v>
      </c>
      <c r="AA382" s="445"/>
      <c r="AB382" s="441"/>
      <c r="AC382" s="138"/>
      <c r="AD382" s="138"/>
      <c r="AE382" s="138"/>
      <c r="AF382" s="138"/>
      <c r="AG382" s="138"/>
      <c r="AH382" s="138"/>
      <c r="AI382" s="138"/>
      <c r="AJ382" s="138"/>
      <c r="AK382" s="138"/>
      <c r="AL382" s="138"/>
      <c r="AM382" s="138"/>
      <c r="AN382" s="138"/>
      <c r="AO382" s="138"/>
      <c r="AP382" s="138"/>
      <c r="AQ382" s="138"/>
      <c r="AR382" s="138"/>
      <c r="AS382" s="138"/>
      <c r="AT382" s="138"/>
      <c r="AU382" s="138"/>
      <c r="AV382" s="138"/>
      <c r="AW382" s="138"/>
      <c r="AX382" s="138"/>
      <c r="AY382" s="138"/>
      <c r="BB382" s="138"/>
      <c r="BC382" s="138"/>
      <c r="BD382" s="138"/>
      <c r="BE382" s="138"/>
      <c r="BF382" s="138"/>
      <c r="BG382" s="138"/>
      <c r="BH382" s="138"/>
      <c r="BI382" s="138"/>
    </row>
    <row r="383" spans="1:61" ht="15" customHeight="1">
      <c r="A383" s="312"/>
      <c r="B383" s="331" t="s">
        <v>235</v>
      </c>
      <c r="C383" s="869" t="str">
        <f>IF(Tool!$H$7="Français",G383,IF(Tool!$H$7="Italiano",I383,E383))</f>
        <v>Abbildung II</v>
      </c>
      <c r="D383" s="913" t="s">
        <v>235</v>
      </c>
      <c r="E383" s="1620" t="s">
        <v>223</v>
      </c>
      <c r="F383" s="1631" t="s">
        <v>235</v>
      </c>
      <c r="G383" s="1652" t="s">
        <v>224</v>
      </c>
      <c r="H383" s="913"/>
      <c r="I383" s="1620" t="s">
        <v>1132</v>
      </c>
      <c r="J383" s="316"/>
      <c r="K383" s="615">
        <f>Q$314</f>
        <v>0</v>
      </c>
      <c r="L383" s="604">
        <f>Q$320</f>
        <v>0</v>
      </c>
      <c r="M383" s="616">
        <f>Q$325</f>
        <v>0</v>
      </c>
      <c r="N383" s="637">
        <f>IF(AU74="NB",0,AU74)</f>
        <v>0</v>
      </c>
      <c r="O383" s="1"/>
      <c r="P383" s="38"/>
      <c r="Q383" s="615">
        <f>-K383</f>
        <v>0</v>
      </c>
      <c r="R383" s="604">
        <f t="shared" ref="R383:T383" si="98">-L383</f>
        <v>0</v>
      </c>
      <c r="S383" s="616">
        <f t="shared" si="98"/>
        <v>0</v>
      </c>
      <c r="T383" s="637">
        <f t="shared" si="98"/>
        <v>0</v>
      </c>
      <c r="U383" s="1"/>
      <c r="V383" s="38"/>
      <c r="W383" s="615">
        <f>R$314</f>
        <v>0</v>
      </c>
      <c r="X383" s="604">
        <f>R$320</f>
        <v>0</v>
      </c>
      <c r="Y383" s="616">
        <f>R$325</f>
        <v>0</v>
      </c>
      <c r="Z383" s="637">
        <f>IF(AY74="NB",0,AY74)</f>
        <v>0</v>
      </c>
      <c r="AA383" s="1"/>
      <c r="AB383" s="38"/>
      <c r="AC383" s="138"/>
      <c r="AD383" s="138"/>
      <c r="AE383" s="138"/>
      <c r="AF383" s="138"/>
      <c r="AG383" s="138"/>
      <c r="AH383" s="138"/>
      <c r="AI383" s="138"/>
      <c r="AJ383" s="138"/>
      <c r="AK383" s="138"/>
      <c r="AL383" s="138"/>
      <c r="AM383" s="138"/>
      <c r="AN383" s="138"/>
      <c r="AO383" s="138"/>
      <c r="AP383" s="138"/>
      <c r="AQ383" s="138"/>
      <c r="AR383" s="138"/>
      <c r="AS383" s="138"/>
      <c r="AT383" s="138"/>
      <c r="AU383" s="138"/>
      <c r="AV383" s="138"/>
      <c r="AW383" s="138"/>
      <c r="AX383" s="138"/>
      <c r="AY383" s="138"/>
      <c r="BB383" s="138"/>
      <c r="BC383" s="138"/>
      <c r="BD383" s="138"/>
      <c r="BE383" s="138"/>
      <c r="BF383" s="138"/>
      <c r="BG383" s="138"/>
      <c r="BH383" s="138"/>
      <c r="BI383" s="138"/>
    </row>
    <row r="384" spans="1:61" ht="15" customHeight="1">
      <c r="A384" s="313"/>
      <c r="B384" s="333"/>
      <c r="C384" s="284" t="str">
        <f>IF(Tool!$H$7="Français",G384,IF(Tool!$H$7="Italiano",I384,E384))</f>
        <v>Im zweiten Teil wird die Bewertung der Bereiche und der einzelnen Themen mit horizontalen Balken graphisch dargestellt.</v>
      </c>
      <c r="D384" s="302"/>
      <c r="E384" s="1618" t="s">
        <v>429</v>
      </c>
      <c r="F384" s="1634"/>
      <c r="G384" s="972" t="s">
        <v>428</v>
      </c>
      <c r="H384" s="302"/>
      <c r="I384" s="319" t="s">
        <v>1134</v>
      </c>
      <c r="J384" s="316"/>
      <c r="K384" s="594">
        <f>IF(K383&lt;=0.5,K383,IF(K383&gt;0.5,0.5))</f>
        <v>0</v>
      </c>
      <c r="L384" s="602">
        <f>IF(L383&lt;=0.5,L383,IF(L383&gt;0.5,0.5))</f>
        <v>0</v>
      </c>
      <c r="M384" s="611">
        <f>IF(M383&lt;=0.5,M383,IF(M383&gt;0.5,0.5))</f>
        <v>0</v>
      </c>
      <c r="N384" s="633">
        <f>IF(N383&lt;=0.5,N383,IF(N383&gt;0.5,0.5))</f>
        <v>0</v>
      </c>
      <c r="O384" s="1"/>
      <c r="P384" s="38"/>
      <c r="Q384" s="594">
        <f t="shared" ref="Q384:Q391" si="99">-K384</f>
        <v>0</v>
      </c>
      <c r="R384" s="602">
        <f t="shared" ref="R384:R391" si="100">-L384</f>
        <v>0</v>
      </c>
      <c r="S384" s="611">
        <f t="shared" ref="S384:S391" si="101">-M384</f>
        <v>0</v>
      </c>
      <c r="T384" s="633">
        <f t="shared" ref="T384:T391" si="102">-N384</f>
        <v>0</v>
      </c>
      <c r="U384" s="1"/>
      <c r="V384" s="38"/>
      <c r="W384" s="594">
        <f>IF(W383&lt;=0.5,W383,IF(W383&gt;0.5,0.5))</f>
        <v>0</v>
      </c>
      <c r="X384" s="602">
        <f>IF(X383&lt;=0.5,X383,IF(X383&gt;0.5,0.5))</f>
        <v>0</v>
      </c>
      <c r="Y384" s="611">
        <f>IF(Y383&lt;=0.5,Y383,IF(Y383&gt;0.5,0.5))</f>
        <v>0</v>
      </c>
      <c r="Z384" s="633">
        <f>IF(Z383&lt;=0.5,Z383,IF(Z383&gt;0.5,0.5))</f>
        <v>0</v>
      </c>
      <c r="AA384" s="1"/>
      <c r="AB384" s="38"/>
      <c r="AC384" s="138"/>
      <c r="AD384" s="138"/>
      <c r="AE384" s="138"/>
      <c r="AF384" s="138"/>
      <c r="AG384" s="138"/>
      <c r="AH384" s="138"/>
      <c r="AI384" s="138"/>
      <c r="AJ384" s="138"/>
      <c r="AK384" s="138"/>
      <c r="AL384" s="138"/>
      <c r="AM384" s="138"/>
      <c r="AN384" s="138"/>
      <c r="AO384" s="138"/>
      <c r="AP384" s="138"/>
      <c r="AQ384" s="138"/>
      <c r="AR384" s="138"/>
      <c r="AS384" s="138"/>
      <c r="AT384" s="138"/>
      <c r="AU384" s="138"/>
      <c r="AV384" s="138"/>
      <c r="AW384" s="138"/>
      <c r="AX384" s="138"/>
      <c r="AY384" s="138"/>
      <c r="BB384" s="138"/>
      <c r="BC384" s="138"/>
      <c r="BD384" s="138"/>
      <c r="BE384" s="138"/>
      <c r="BF384" s="138"/>
      <c r="BG384" s="138"/>
      <c r="BH384" s="138"/>
      <c r="BI384" s="138"/>
    </row>
    <row r="385" spans="1:61" ht="15" customHeight="1">
      <c r="A385" s="313"/>
      <c r="B385" s="333"/>
      <c r="C385" s="284" t="str">
        <f>IF(Tool!$H$7="Français",G385,IF(Tool!$H$7="Italiano",I385,E385))</f>
        <v>Der mittlere Teil zeigt die Bewertung für jedes Kriterium wie vorgängig erläutert.
(Stolperstein = rot, umrahmt und in Fettschrift / Ungenügend = rot / Genügend = grün / Gut = grün, durchgestrichen und in Fettschrift)</v>
      </c>
      <c r="D385" s="302"/>
      <c r="E385" s="1618" t="s">
        <v>1656</v>
      </c>
      <c r="F385" s="1634"/>
      <c r="G385" s="972" t="s">
        <v>1968</v>
      </c>
      <c r="H385" s="302"/>
      <c r="I385" s="319" t="s">
        <v>1657</v>
      </c>
      <c r="J385" s="316"/>
      <c r="K385" s="584">
        <f>IF(K383&lt;=0.5,0,IF(AND(K383&lt;=0.65,K383&gt;0.5),K383-0.5,IF(K383&gt;0.65,0.15)))</f>
        <v>0</v>
      </c>
      <c r="L385" s="587">
        <f>IF(L383&lt;=0.5,0,IF(AND(L383&lt;=0.65,L383&gt;0.5),L383-0.5,IF(L383&gt;0.65,0.15)))</f>
        <v>0</v>
      </c>
      <c r="M385" s="612">
        <f>IF(M383&lt;=0.5,0,IF(AND(M383&lt;=0.65,M383&gt;0.5),M383-0.5,IF(M383&gt;0.65,0.15)))</f>
        <v>0</v>
      </c>
      <c r="N385" s="634">
        <f>IF(N383&lt;=0.5,0,IF(AND(N383&lt;=0.65,N383&gt;0.5),N383-0.5,IF(N383&gt;0.65,0.15)))</f>
        <v>0</v>
      </c>
      <c r="O385" s="1"/>
      <c r="P385" s="38"/>
      <c r="Q385" s="584">
        <f t="shared" si="99"/>
        <v>0</v>
      </c>
      <c r="R385" s="587">
        <f t="shared" si="100"/>
        <v>0</v>
      </c>
      <c r="S385" s="612">
        <f t="shared" si="101"/>
        <v>0</v>
      </c>
      <c r="T385" s="634">
        <f t="shared" si="102"/>
        <v>0</v>
      </c>
      <c r="U385" s="1"/>
      <c r="V385" s="38"/>
      <c r="W385" s="584">
        <f>IF(W383&lt;=0.5,0,IF(AND(W383&lt;=0.65,W383&gt;0.5),W383-0.5,IF(W383&gt;0.65,0.15)))</f>
        <v>0</v>
      </c>
      <c r="X385" s="587">
        <f>IF(X383&lt;=0.5,0,IF(AND(X383&lt;=0.65,X383&gt;0.5),X383-0.5,IF(X383&gt;0.65,0.15)))</f>
        <v>0</v>
      </c>
      <c r="Y385" s="612">
        <f>IF(Y383&lt;=0.5,0,IF(AND(Y383&lt;=0.65,Y383&gt;0.5),Y383-0.5,IF(Y383&gt;0.65,0.15)))</f>
        <v>0</v>
      </c>
      <c r="Z385" s="634">
        <f>IF(Z383&lt;=0.5,0,IF(AND(Z383&lt;=0.65,Z383&gt;0.5),Z383-0.5,IF(Z383&gt;0.65,0.15)))</f>
        <v>0</v>
      </c>
      <c r="AA385" s="1"/>
      <c r="AB385" s="38"/>
      <c r="AC385" s="138"/>
      <c r="AD385" s="138"/>
      <c r="AE385" s="138"/>
      <c r="AF385" s="138"/>
      <c r="AG385" s="138"/>
      <c r="AH385" s="138"/>
      <c r="AI385" s="138"/>
      <c r="AJ385" s="138"/>
      <c r="AK385" s="138"/>
      <c r="AL385" s="138"/>
      <c r="AM385" s="138"/>
      <c r="AN385" s="138"/>
      <c r="AO385" s="138"/>
      <c r="AP385" s="138"/>
      <c r="AQ385" s="138"/>
      <c r="AR385" s="138"/>
      <c r="AS385" s="138"/>
      <c r="AT385" s="138"/>
      <c r="AU385" s="138"/>
      <c r="AV385" s="138"/>
      <c r="AW385" s="138"/>
      <c r="AX385" s="138"/>
      <c r="AY385" s="138"/>
      <c r="BB385" s="138"/>
      <c r="BC385" s="138"/>
      <c r="BD385" s="138"/>
      <c r="BE385" s="138"/>
      <c r="BF385" s="138"/>
      <c r="BG385" s="138"/>
      <c r="BH385" s="138"/>
      <c r="BI385" s="138"/>
    </row>
    <row r="386" spans="1:61" ht="15" customHeight="1">
      <c r="A386" s="313"/>
      <c r="B386" s="333"/>
      <c r="C386" s="284" t="str">
        <f>IF(Tool!$H$7="Français",G386,IF(Tool!$H$7="Italiano",I386,E386))</f>
        <v>Im Bereich ''Gesellschaft'' wird ein Erfüllungsgrad von 73 % erzielt.</v>
      </c>
      <c r="D386" s="302"/>
      <c r="E386" s="1618" t="s">
        <v>1133</v>
      </c>
      <c r="F386" s="1634"/>
      <c r="G386" s="972" t="str">
        <f>"Dans le domaine ''"&amp;AK23&amp;"'', 73 % des exigences ont été remplies."</f>
        <v>Dans le domaine ''Gesellschaft'', 73 % des exigences ont été remplies.</v>
      </c>
      <c r="H386" s="302"/>
      <c r="I386" s="319" t="s">
        <v>1135</v>
      </c>
      <c r="J386" s="316"/>
      <c r="K386" s="584">
        <f>IF(K383&lt;=0.65,0,IF(AND(K383&lt;=0.85,K383&gt;0.65),K383-0.65,IF(K383&gt;0.85,0.2)))</f>
        <v>0</v>
      </c>
      <c r="L386" s="587">
        <f>IF(L383&lt;=0.65,0,IF(AND(L383&lt;=0.85,L383&gt;0.65),L383-0.65,IF(L383&gt;0.85,0.2)))</f>
        <v>0</v>
      </c>
      <c r="M386" s="612">
        <f>IF(M383&lt;=0.65,0,IF(AND(M383&lt;=0.85,M383&gt;0.65),M383-0.65,IF(M383&gt;0.85,0.2)))</f>
        <v>0</v>
      </c>
      <c r="N386" s="634">
        <f>IF(N383&lt;=0.65,0,IF(AND(N383&lt;=0.85,N383&gt;0.65),N383-0.65,IF(N383&gt;0.85,0.2)))</f>
        <v>0</v>
      </c>
      <c r="O386" s="1"/>
      <c r="P386" s="38"/>
      <c r="Q386" s="584">
        <f t="shared" si="99"/>
        <v>0</v>
      </c>
      <c r="R386" s="587">
        <f t="shared" si="100"/>
        <v>0</v>
      </c>
      <c r="S386" s="612">
        <f t="shared" si="101"/>
        <v>0</v>
      </c>
      <c r="T386" s="634">
        <f t="shared" si="102"/>
        <v>0</v>
      </c>
      <c r="U386" s="1"/>
      <c r="V386" s="38"/>
      <c r="W386" s="584">
        <f>IF(W383&lt;=0.65,0,IF(AND(W383&lt;=0.85,W383&gt;0.65),W383-0.65,IF(W383&gt;0.85,0.2)))</f>
        <v>0</v>
      </c>
      <c r="X386" s="587">
        <f>IF(X383&lt;=0.65,0,IF(AND(X383&lt;=0.85,X383&gt;0.65),X383-0.65,IF(X383&gt;0.85,0.2)))</f>
        <v>0</v>
      </c>
      <c r="Y386" s="612">
        <f>IF(Y383&lt;=0.65,0,IF(AND(Y383&lt;=0.85,Y383&gt;0.65),Y383-0.65,IF(Y383&gt;0.85,0.2)))</f>
        <v>0</v>
      </c>
      <c r="Z386" s="634">
        <f>IF(Z383&lt;=0.65,0,IF(AND(Z383&lt;=0.85,Z383&gt;0.65),Z383-0.65,IF(Z383&gt;0.85,0.2)))</f>
        <v>0</v>
      </c>
      <c r="AA386" s="1"/>
      <c r="AB386" s="38"/>
      <c r="AC386" s="138"/>
      <c r="AD386" s="138"/>
      <c r="AE386" s="138"/>
      <c r="AF386" s="138"/>
      <c r="AG386" s="138"/>
      <c r="AH386" s="138"/>
      <c r="AI386" s="138"/>
      <c r="AJ386" s="138"/>
      <c r="AK386" s="138"/>
      <c r="AL386" s="138"/>
      <c r="AM386" s="138"/>
      <c r="AN386" s="138"/>
      <c r="AO386" s="138"/>
      <c r="AP386" s="138"/>
      <c r="AQ386" s="138"/>
      <c r="AR386" s="138"/>
      <c r="AS386" s="138"/>
      <c r="AT386" s="138"/>
      <c r="AU386" s="138"/>
      <c r="AV386" s="138"/>
      <c r="AW386" s="138"/>
      <c r="AX386" s="138"/>
      <c r="AY386" s="138"/>
      <c r="BB386" s="138"/>
      <c r="BC386" s="138"/>
      <c r="BD386" s="138"/>
      <c r="BE386" s="138"/>
      <c r="BF386" s="138"/>
      <c r="BG386" s="138"/>
      <c r="BH386" s="138"/>
      <c r="BI386" s="138"/>
    </row>
    <row r="387" spans="1:61" ht="15" customHeight="1">
      <c r="A387" s="313"/>
      <c r="B387" s="333"/>
      <c r="C387" s="284" t="str">
        <f>IF(Tool!$H$7="Français",G387,IF(Tool!$H$7="Italiano",I387,E387))</f>
        <v>Im obigen Beispiel werden die folgenden Informationen angezeigt:</v>
      </c>
      <c r="D387" s="302"/>
      <c r="E387" s="1618" t="s">
        <v>169</v>
      </c>
      <c r="F387" s="1634"/>
      <c r="G387" s="972" t="s">
        <v>362</v>
      </c>
      <c r="H387" s="302"/>
      <c r="I387" s="319" t="s">
        <v>1136</v>
      </c>
      <c r="J387" s="365"/>
      <c r="K387" s="600">
        <f>IF(K383&lt;=0.85,0,IF(AND(K383&lt;=1,K383&gt;0.85),K383-0.85,IF(K383&gt;1,0.15)))</f>
        <v>0</v>
      </c>
      <c r="L387" s="608">
        <f>IF(L383&lt;=0.85,0,IF(AND(L383&lt;=1,L383&gt;0.85),L383-0.85,IF(L383&gt;1,0.15)))</f>
        <v>0</v>
      </c>
      <c r="M387" s="613">
        <f>IF(M383&lt;=0.85,0,IF(AND(M383&lt;=1,M383&gt;0.85),M383-0.85,IF(M383&gt;1,0.15)))</f>
        <v>0</v>
      </c>
      <c r="N387" s="635">
        <f>IF(N383&lt;=0.85,0,IF(AND(N383&lt;=1,N383&gt;0.85),N383-0.85,IF(N383&gt;1,0.15)))</f>
        <v>0</v>
      </c>
      <c r="O387" s="1"/>
      <c r="P387" s="38"/>
      <c r="Q387" s="600">
        <f t="shared" si="99"/>
        <v>0</v>
      </c>
      <c r="R387" s="608">
        <f t="shared" si="100"/>
        <v>0</v>
      </c>
      <c r="S387" s="613">
        <f t="shared" si="101"/>
        <v>0</v>
      </c>
      <c r="T387" s="635">
        <f t="shared" si="102"/>
        <v>0</v>
      </c>
      <c r="U387" s="1"/>
      <c r="V387" s="38"/>
      <c r="W387" s="600">
        <f>IF(W383&lt;=0.85,0,IF(AND(W383&lt;=1,W383&gt;0.85),W383-0.85,IF(W383&gt;1,0.15)))</f>
        <v>0</v>
      </c>
      <c r="X387" s="608">
        <f>IF(X383&lt;=0.85,0,IF(AND(X383&lt;=1,X383&gt;0.85),X383-0.85,IF(X383&gt;1,0.15)))</f>
        <v>0</v>
      </c>
      <c r="Y387" s="613">
        <f>IF(Y383&lt;=0.85,0,IF(AND(Y383&lt;=1,Y383&gt;0.85),Y383-0.85,IF(Y383&gt;1,0.15)))</f>
        <v>0</v>
      </c>
      <c r="Z387" s="635">
        <f>IF(Z383&lt;=0.85,0,IF(AND(Z383&lt;=1,Z383&gt;0.85),Z383-0.85,IF(Z383&gt;1,0.15)))</f>
        <v>0</v>
      </c>
      <c r="AA387" s="1"/>
      <c r="AB387" s="38"/>
      <c r="AC387" s="138"/>
      <c r="AD387" s="138"/>
      <c r="AE387" s="138"/>
      <c r="AF387" s="138"/>
      <c r="AG387" s="138"/>
      <c r="AH387" s="138"/>
      <c r="AI387" s="138"/>
      <c r="AJ387" s="138"/>
      <c r="AK387" s="138"/>
      <c r="AL387" s="138"/>
      <c r="AM387" s="138"/>
      <c r="AN387" s="138"/>
      <c r="AO387" s="138"/>
      <c r="AP387" s="138"/>
      <c r="AQ387" s="138"/>
      <c r="AR387" s="138"/>
      <c r="AS387" s="138"/>
      <c r="AT387" s="138"/>
      <c r="AU387" s="138"/>
      <c r="AV387" s="138"/>
      <c r="AW387" s="138"/>
      <c r="AX387" s="138"/>
      <c r="AY387" s="138"/>
      <c r="BB387" s="138"/>
      <c r="BC387" s="138"/>
      <c r="BD387" s="138"/>
      <c r="BE387" s="138"/>
      <c r="BF387" s="138"/>
      <c r="BG387" s="138"/>
      <c r="BH387" s="138"/>
      <c r="BI387" s="138"/>
    </row>
    <row r="388" spans="1:61" ht="15" customHeight="1">
      <c r="A388" s="313"/>
      <c r="B388" s="333"/>
      <c r="C388" s="284" t="str">
        <f>IF(Tool!$H$7="Français",G388,IF(Tool!$H$7="Italiano",I388,E388))</f>
        <v>Beim Thema ''Qualität der Entwicklung'' ist die Bewertung knapp genügend. Die Kriterien sollten einzeln untersucht werden.</v>
      </c>
      <c r="D388" s="302"/>
      <c r="E388" s="1618" t="str">
        <f>"Beim Thema ''"&amp;AL23&amp;"'' ist die Bewertung knapp genügend. Die Kriterien sollten einzeln untersucht werden."</f>
        <v>Beim Thema ''Qualität der Entwicklung'' ist die Bewertung knapp genügend. Die Kriterien sollten einzeln untersucht werden.</v>
      </c>
      <c r="F388" s="1634"/>
      <c r="G388" s="972" t="str">
        <f>"Dans le thème ''"&amp;AL23&amp;"'', le graphique indique des résultats à peine suffisants. Les criterès devraient être contrôlés individuellement."</f>
        <v>Dans le thème ''Qualität der Entwicklung'', le graphique indique des résultats à peine suffisants. Les criterès devraient être contrôlés individuellement.</v>
      </c>
      <c r="H388" s="302"/>
      <c r="I388" s="319" t="str">
        <f>"La valutazione del tema ''"&amp;AL23&amp;"''  è appena sufficiente. Gli criteri dovrebbero essere analizzati singolarmente."</f>
        <v>La valutazione del tema ''Qualität der Entwicklung''  è appena sufficiente. Gli criteri dovrebbero essere analizzati singolarmente.</v>
      </c>
      <c r="J388" s="316"/>
      <c r="K388" s="594">
        <f>IF(K383=1,0,
IF(K383&gt;0.85,0.15-K387,
IF(K383&gt;0.65,0.2-K386,
IF(K383&gt;0.5,0.15-K385,
0.5-K384))))</f>
        <v>0.5</v>
      </c>
      <c r="L388" s="602">
        <f>IF(L383=1,0,
IF(L383&gt;0.85,0.15-L387,
IF(L383&gt;0.65,0.2-L386,
IF(L383&gt;0.5,0.15-L385,
0.5-L384))))</f>
        <v>0.5</v>
      </c>
      <c r="M388" s="611">
        <f>IF(M383=1,0,
IF(M383&gt;0.85,0.15-M387,
IF(M383&gt;0.65,0.2-M386,
IF(M383&gt;0.5,0.15-M385,
0.5-M384))))</f>
        <v>0.5</v>
      </c>
      <c r="N388" s="633">
        <f>IF(N383=1,0,
IF(N383&gt;0.85,0.15-N387,
IF(N383&gt;0.65,0.2-N386,
IF(N383&gt;0.5,0.15-N385,
0.5-N384))))</f>
        <v>0.5</v>
      </c>
      <c r="O388" s="1"/>
      <c r="P388" s="38"/>
      <c r="Q388" s="594">
        <f t="shared" si="99"/>
        <v>-0.5</v>
      </c>
      <c r="R388" s="602">
        <f t="shared" si="100"/>
        <v>-0.5</v>
      </c>
      <c r="S388" s="611">
        <f t="shared" si="101"/>
        <v>-0.5</v>
      </c>
      <c r="T388" s="633">
        <f t="shared" si="102"/>
        <v>-0.5</v>
      </c>
      <c r="U388" s="1"/>
      <c r="V388" s="38"/>
      <c r="W388" s="594">
        <f>IF(W383=1,0,
IF(W383&gt;0.85,0.15-W387,
IF(W383&gt;0.65,0.2-W386,
IF(W383&gt;0.5,0.15-W385,
0.5-W384))))</f>
        <v>0.5</v>
      </c>
      <c r="X388" s="602">
        <f>IF(X383=1,0,
IF(X383&gt;0.85,0.15-X387,
IF(X383&gt;0.65,0.2-X386,
IF(X383&gt;0.5,0.15-X385,
0.5-X384))))</f>
        <v>0.5</v>
      </c>
      <c r="Y388" s="611">
        <f>IF(Y383=1,0,
IF(Y383&gt;0.85,0.15-Y387,
IF(Y383&gt;0.65,0.2-Y386,
IF(Y383&gt;0.5,0.15-Y385,
0.5-Y384))))</f>
        <v>0.5</v>
      </c>
      <c r="Z388" s="633">
        <f>IF(Z383=1,0,
IF(Z383&gt;0.85,0.15-Z387,
IF(Z383&gt;0.65,0.2-Z386,
IF(Z383&gt;0.5,0.15-Z385,
0.5-Z384))))</f>
        <v>0.5</v>
      </c>
      <c r="AA388" s="1"/>
      <c r="AB388" s="38"/>
      <c r="AC388" s="138"/>
      <c r="AD388" s="138"/>
      <c r="AE388" s="138"/>
      <c r="AF388" s="138"/>
      <c r="AG388" s="138"/>
      <c r="AH388" s="138"/>
      <c r="AI388" s="138"/>
      <c r="AJ388" s="138"/>
      <c r="AK388" s="138"/>
      <c r="AL388" s="138"/>
      <c r="AM388" s="138"/>
      <c r="AN388" s="138"/>
      <c r="AO388" s="138"/>
      <c r="AP388" s="138"/>
      <c r="AQ388" s="138"/>
      <c r="AR388" s="138"/>
      <c r="AS388" s="138"/>
      <c r="AT388" s="138"/>
      <c r="AU388" s="138"/>
      <c r="AV388" s="138"/>
      <c r="AW388" s="138"/>
      <c r="AX388" s="138"/>
      <c r="AY388" s="138"/>
      <c r="BB388" s="138"/>
      <c r="BC388" s="138"/>
      <c r="BD388" s="138"/>
      <c r="BE388" s="138"/>
      <c r="BF388" s="138"/>
      <c r="BG388" s="138"/>
      <c r="BH388" s="138"/>
      <c r="BI388" s="138"/>
    </row>
    <row r="389" spans="1:61" ht="15" customHeight="1">
      <c r="A389" s="313"/>
      <c r="B389" s="333"/>
      <c r="C389" s="284" t="str">
        <f>IF(Tool!$H$7="Français",G389,IF(Tool!$H$7="Italiano",I389,E389))</f>
        <v>Beim Thema'' Angebot &amp; Erreichbarkeit'' zeichnet sich für das Projekt eine besonders gute Bewertung ab.</v>
      </c>
      <c r="D389" s="302"/>
      <c r="E389" s="1618" t="str">
        <f>"Beim Thema'' "&amp;AL26&amp;"'' zeichnet sich für das Projekt eine besonders gute Bewertung ab."</f>
        <v>Beim Thema'' Angebot &amp; Erreichbarkeit'' zeichnet sich für das Projekt eine besonders gute Bewertung ab.</v>
      </c>
      <c r="F389" s="1634"/>
      <c r="G389" s="972" t="str">
        <f>"Dans le thème ''"&amp;AL28&amp;"'', le projet est particulièrement bon et garantira par sa flexibilité un potentiel d'adaptation sur une longue durée."</f>
        <v>Dans le thème ''Gebrauchsqualität'', le projet est particulièrement bon et garantira par sa flexibilité un potentiel d'adaptation sur une longue durée.</v>
      </c>
      <c r="H389" s="302"/>
      <c r="I389" s="319" t="str">
        <f>"Il progetto riceve una valutazione particolarmente buona per il tema ''"&amp;AL26&amp;"''."</f>
        <v>Il progetto riceve una valutazione particolarmente buona per il tema ''Angebot &amp; Erreichbarkeit''.</v>
      </c>
      <c r="J389" s="316"/>
      <c r="K389" s="584">
        <f>IF(K383&lt;=0.5,0.15,0)</f>
        <v>0.15</v>
      </c>
      <c r="L389" s="587">
        <f>IF(L383&lt;=0.5,0.15,0)</f>
        <v>0.15</v>
      </c>
      <c r="M389" s="612">
        <f>IF(M383&lt;=0.5,0.15,0)</f>
        <v>0.15</v>
      </c>
      <c r="N389" s="634">
        <f>IF(N383&lt;=0.5,0.15,0)</f>
        <v>0.15</v>
      </c>
      <c r="O389" s="1"/>
      <c r="P389" s="38"/>
      <c r="Q389" s="584">
        <f t="shared" si="99"/>
        <v>-0.15</v>
      </c>
      <c r="R389" s="587">
        <f t="shared" si="100"/>
        <v>-0.15</v>
      </c>
      <c r="S389" s="612">
        <f t="shared" si="101"/>
        <v>-0.15</v>
      </c>
      <c r="T389" s="634">
        <f t="shared" si="102"/>
        <v>-0.15</v>
      </c>
      <c r="U389" s="1"/>
      <c r="V389" s="38"/>
      <c r="W389" s="584">
        <f>IF(W383&lt;=0.5,0.15,0)</f>
        <v>0.15</v>
      </c>
      <c r="X389" s="587">
        <f>IF(X383&lt;=0.5,0.15,0)</f>
        <v>0.15</v>
      </c>
      <c r="Y389" s="612">
        <f>IF(Y383&lt;=0.5,0.15,0)</f>
        <v>0.15</v>
      </c>
      <c r="Z389" s="634">
        <f>IF(Z383&lt;=0.5,0.15,0)</f>
        <v>0.15</v>
      </c>
      <c r="AA389" s="1"/>
      <c r="AB389" s="38"/>
      <c r="AC389" s="138"/>
      <c r="AD389" s="138"/>
      <c r="AE389" s="138"/>
      <c r="AF389" s="138"/>
      <c r="AG389" s="138"/>
      <c r="AH389" s="138"/>
      <c r="AI389" s="138"/>
      <c r="AJ389" s="138"/>
      <c r="AK389" s="138"/>
      <c r="AL389" s="138"/>
      <c r="AM389" s="138"/>
      <c r="AN389" s="138"/>
      <c r="AO389" s="138"/>
      <c r="AP389" s="138"/>
      <c r="AQ389" s="138"/>
      <c r="AR389" s="138"/>
      <c r="AS389" s="138"/>
      <c r="AT389" s="138"/>
      <c r="AU389" s="138"/>
      <c r="AV389" s="138"/>
      <c r="AW389" s="138"/>
      <c r="AX389" s="138"/>
      <c r="AY389" s="138"/>
      <c r="BB389" s="138"/>
      <c r="BC389" s="138"/>
      <c r="BD389" s="138"/>
      <c r="BE389" s="138"/>
      <c r="BF389" s="138"/>
      <c r="BG389" s="138"/>
      <c r="BH389" s="138"/>
      <c r="BI389" s="138"/>
    </row>
    <row r="390" spans="1:61" ht="15" customHeight="1">
      <c r="A390" s="313"/>
      <c r="B390" s="333"/>
      <c r="C390" s="284" t="str">
        <f>IF(Tool!$H$7="Français",G390,IF(Tool!$H$7="Italiano",I390,E390))</f>
        <v>Die Kriterien ''Städtebau &amp; Architektur'' und ''Erreichbarkeit &amp; Nutzungsangebot im Quartierumfeld'' werden mit einem Nachhaltigkeitsgrad von mindestens 85 % bewertet und sollten somit beim Bauvorhaben voraussichtlich unproblematisch sein.</v>
      </c>
      <c r="D390" s="302"/>
      <c r="E390" s="1618" t="str">
        <f>"Die Kriterien ''"&amp;AR24&amp;"'' und ''"&amp;AR26&amp;"'' werden mit einem Nachhaltigkeitsgrad von mindestens 85 % bewertet und sollten somit beim Bauvorhaben voraussichtlich unproblematisch sein."</f>
        <v>Die Kriterien ''Städtebau &amp; Architektur'' und ''Erreichbarkeit &amp; Nutzungsangebot im Quartierumfeld'' werden mit einem Nachhaltigkeitsgrad von mindestens 85 % bewertet und sollten somit beim Bauvorhaben voraussichtlich unproblematisch sein.</v>
      </c>
      <c r="F390" s="1634"/>
      <c r="G390" s="972" t="str">
        <f>"Les criterès  ''"&amp;AR24&amp;"'' et ''"&amp;AR26&amp;"''' ont atteint au moins 85 % et ne devraient pas poser de problème dans le projet."</f>
        <v>Les criterès  ''Städtebau &amp; Architektur'' et ''Erreichbarkeit &amp; Nutzungsangebot im Quartierumfeld''' ont atteint au moins 85 % et ne devraient pas poser de problème dans le projet.</v>
      </c>
      <c r="H390" s="302"/>
      <c r="I390" s="319" t="str">
        <f>"I criteri  ''"&amp;AR24&amp;"'' e ''"&amp;AR26&amp;"'' sono valutati con un grado di sostenibilità di almeno l'85% e quindi non dovrebbero essere problematici per il progetto di costruzione."</f>
        <v>I criteri  ''Städtebau &amp; Architektur'' e ''Erreichbarkeit &amp; Nutzungsangebot im Quartierumfeld'' sono valutati con un grado di sostenibilità di almeno l'85% e quindi non dovrebbero essere problematici per il progetto di costruzione.</v>
      </c>
      <c r="J390" s="364"/>
      <c r="K390" s="584">
        <f>IF(K383&lt;=0.65,0.2,0)</f>
        <v>0.2</v>
      </c>
      <c r="L390" s="587">
        <f>IF(L383&lt;=0.65,0.2,0)</f>
        <v>0.2</v>
      </c>
      <c r="M390" s="612">
        <f>IF(M383&lt;=0.65,0.2,0)</f>
        <v>0.2</v>
      </c>
      <c r="N390" s="634">
        <f>IF(N383&lt;=0.65,0.2,0)</f>
        <v>0.2</v>
      </c>
      <c r="O390" s="1"/>
      <c r="P390" s="38"/>
      <c r="Q390" s="584">
        <f t="shared" si="99"/>
        <v>-0.2</v>
      </c>
      <c r="R390" s="587">
        <f t="shared" si="100"/>
        <v>-0.2</v>
      </c>
      <c r="S390" s="612">
        <f t="shared" si="101"/>
        <v>-0.2</v>
      </c>
      <c r="T390" s="634">
        <f t="shared" si="102"/>
        <v>-0.2</v>
      </c>
      <c r="U390" s="1"/>
      <c r="V390" s="38"/>
      <c r="W390" s="584">
        <f>IF(W383&lt;=0.65,0.2,0)</f>
        <v>0.2</v>
      </c>
      <c r="X390" s="587">
        <f>IF(X383&lt;=0.65,0.2,0)</f>
        <v>0.2</v>
      </c>
      <c r="Y390" s="612">
        <f>IF(Y383&lt;=0.65,0.2,0)</f>
        <v>0.2</v>
      </c>
      <c r="Z390" s="634">
        <f>IF(Z383&lt;=0.65,0.2,0)</f>
        <v>0.2</v>
      </c>
      <c r="AA390" s="1"/>
      <c r="AB390" s="38"/>
      <c r="AC390" s="138"/>
      <c r="AD390" s="138"/>
      <c r="AE390" s="138"/>
      <c r="AF390" s="138"/>
      <c r="AG390" s="138"/>
      <c r="AH390" s="138"/>
      <c r="AI390" s="138"/>
      <c r="AJ390" s="138"/>
      <c r="AK390" s="138"/>
      <c r="AL390" s="138"/>
      <c r="AM390" s="138"/>
      <c r="AN390" s="138"/>
      <c r="AO390" s="138"/>
      <c r="AP390" s="138"/>
      <c r="AQ390" s="138"/>
      <c r="AR390" s="138"/>
      <c r="AS390" s="138"/>
      <c r="AT390" s="138"/>
      <c r="AU390" s="138"/>
      <c r="AV390" s="138"/>
      <c r="AW390" s="138"/>
      <c r="AX390" s="138"/>
      <c r="AY390" s="138"/>
      <c r="BB390" s="138"/>
      <c r="BC390" s="138"/>
      <c r="BD390" s="138"/>
      <c r="BE390" s="138"/>
      <c r="BF390" s="138"/>
      <c r="BG390" s="138"/>
      <c r="BH390" s="138"/>
      <c r="BI390" s="138"/>
    </row>
    <row r="391" spans="1:61" ht="15" customHeight="1">
      <c r="A391" s="313"/>
      <c r="B391" s="333"/>
      <c r="C391" s="284" t="str">
        <f>IF(Tool!$H$7="Français",G391,IF(Tool!$H$7="Italiano",I391,E391))</f>
        <v>Die Kriterien ''Ziele &amp; Pflichtenhefte'' und ''Hindernisfreies Bauen'' weisen einen tieferen Nachhaltigkeitsgrad auf, bleiben in der Bewertung jedoch ''genügend''.</v>
      </c>
      <c r="D391" s="302"/>
      <c r="E391" s="1618" t="str">
        <f>"Die Kriterien ''"&amp;AR23&amp;"'' und ''"&amp;AR27&amp;"'' weisen einen tieferen Nachhaltigkeitsgrad auf, bleiben in der Bewertung jedoch ''genügend''."</f>
        <v>Die Kriterien ''Ziele &amp; Pflichtenhefte'' und ''Hindernisfreies Bauen'' weisen einen tieferen Nachhaltigkeitsgrad auf, bleiben in der Bewertung jedoch ''genügend''.</v>
      </c>
      <c r="F391" s="1634"/>
      <c r="G391" s="972" t="str">
        <f>"Le critère ''"&amp;AR23&amp;"'' et ''"&amp;AR27&amp;"'' ne sont pas entièrement rempli, mais restent suffisant."</f>
        <v>Le critère ''Ziele &amp; Pflichtenhefte'' et ''Hindernisfreies Bauen'' ne sont pas entièrement rempli, mais restent suffisant.</v>
      </c>
      <c r="H391" s="302"/>
      <c r="I391" s="319" t="str">
        <f>"I criteri ''"&amp;AR23&amp;"'' e ''"&amp;AR27&amp;"'' hanno un grado di sostenibilità basso , ma raggiungiono comunque una valutazione ''sufficiente''."</f>
        <v>I criteri ''Ziele &amp; Pflichtenhefte'' e ''Hindernisfreies Bauen'' hanno un grado di sostenibilità basso , ma raggiungiono comunque una valutazione ''sufficiente''.</v>
      </c>
      <c r="J391" s="364"/>
      <c r="K391" s="600">
        <f>IF(K383&lt;=0.85,0.15,0)</f>
        <v>0.15</v>
      </c>
      <c r="L391" s="608">
        <f>IF(L383&lt;=0.85,0.15,0)</f>
        <v>0.15</v>
      </c>
      <c r="M391" s="613">
        <f>IF(M383&lt;=0.85,0.15,0)</f>
        <v>0.15</v>
      </c>
      <c r="N391" s="635">
        <f>IF(N383&lt;=0.85,0.15,0)</f>
        <v>0.15</v>
      </c>
      <c r="O391" s="446"/>
      <c r="P391" s="430"/>
      <c r="Q391" s="600">
        <f t="shared" si="99"/>
        <v>-0.15</v>
      </c>
      <c r="R391" s="608">
        <f t="shared" si="100"/>
        <v>-0.15</v>
      </c>
      <c r="S391" s="613">
        <f t="shared" si="101"/>
        <v>-0.15</v>
      </c>
      <c r="T391" s="635">
        <f t="shared" si="102"/>
        <v>-0.15</v>
      </c>
      <c r="U391" s="446"/>
      <c r="V391" s="430"/>
      <c r="W391" s="600">
        <f>IF(W383&lt;=0.85,0.15,0)</f>
        <v>0.15</v>
      </c>
      <c r="X391" s="608">
        <f>IF(X383&lt;=0.85,0.15,0)</f>
        <v>0.15</v>
      </c>
      <c r="Y391" s="613">
        <f>IF(Y383&lt;=0.85,0.15,0)</f>
        <v>0.15</v>
      </c>
      <c r="Z391" s="635">
        <f>IF(Z383&lt;=0.85,0.15,0)</f>
        <v>0.15</v>
      </c>
      <c r="AA391" s="446"/>
      <c r="AB391" s="430"/>
      <c r="AC391" s="138"/>
      <c r="AD391" s="138"/>
      <c r="AE391" s="138"/>
      <c r="AF391" s="138"/>
      <c r="AG391" s="138"/>
      <c r="AH391" s="138"/>
      <c r="AI391" s="138"/>
      <c r="AJ391" s="138"/>
      <c r="AK391" s="138"/>
      <c r="AL391" s="138"/>
      <c r="AM391" s="138"/>
      <c r="AN391" s="138"/>
      <c r="AO391" s="138"/>
      <c r="AP391" s="138"/>
      <c r="AQ391" s="138"/>
      <c r="AR391" s="138"/>
      <c r="AS391" s="138"/>
      <c r="AT391" s="138"/>
      <c r="AU391" s="138"/>
      <c r="AV391" s="138"/>
      <c r="AW391" s="138"/>
      <c r="AX391" s="138"/>
      <c r="AY391" s="138"/>
      <c r="BB391" s="138"/>
      <c r="BC391" s="138"/>
      <c r="BD391" s="138"/>
      <c r="BE391" s="138"/>
      <c r="BF391" s="138"/>
      <c r="BG391" s="138"/>
      <c r="BH391" s="138"/>
      <c r="BI391" s="138"/>
    </row>
    <row r="392" spans="1:61" ht="15" customHeight="1">
      <c r="A392" s="313"/>
      <c r="B392" s="334"/>
      <c r="C392" s="284" t="str">
        <f>IF(Tool!$H$7="Français",G392,IF(Tool!$H$7="Italiano",I392,E392))</f>
        <v>Das Kriterium ''Partizipation'' erhält hingegen eine Bewertung unter 50 % und kann daher ein Stolperstein im Hinblick auf die Realisierung eines gesamtheitlich nachhaltigen Projekts darstellen.</v>
      </c>
      <c r="D392" s="303"/>
      <c r="E392" s="1619" t="str">
        <f>"Das Kriterium ''"&amp;AR25&amp;"'' erhält hingegen eine Bewertung unter 50 % und kann daher ein Stolperstein im Hinblick auf die Realisierung eines gesamtheitlich nachhaltigen Projekts darstellen."</f>
        <v>Das Kriterium ''Partizipation'' erhält hingegen eine Bewertung unter 50 % und kann daher ein Stolperstein im Hinblick auf die Realisierung eines gesamtheitlich nachhaltigen Projekts darstellen.</v>
      </c>
      <c r="F392" s="1641"/>
      <c r="G392" s="972" t="str">
        <f>"Le critère ''"&amp;AR26&amp;"'' est à moins de 50 % rempli et peut par conséquent représenter un obstacle à la réalisation d'un projet durable."</f>
        <v>Le critère ''Erreichbarkeit &amp; Nutzungsangebot im Quartierumfeld'' est à moins de 50 % rempli et peut par conséquent représenter un obstacle à la réalisation d'un projet durable.</v>
      </c>
      <c r="H392" s="303"/>
      <c r="I392" s="1619" t="str">
        <f>"Il criterio ''"&amp;AR25&amp;"'', invece, è valutato al di sotto del 50% e può quindi rappresentare un ostacolo per la realizzazione di un progetto complessivamente sostenibile."</f>
        <v>Il criterio ''Partizipation'', invece, è valutato al di sotto del 50% e può quindi rappresentare un ostacolo per la realizzazione di un progetto complessivamente sostenibile.</v>
      </c>
      <c r="J392" s="364"/>
      <c r="K392" s="144"/>
      <c r="L392" s="138"/>
      <c r="M392" s="138"/>
      <c r="N392" s="138"/>
      <c r="O392" s="138"/>
      <c r="P392" s="138"/>
      <c r="Q392" s="138"/>
      <c r="R392" s="311"/>
      <c r="S392" s="311"/>
      <c r="T392" s="311"/>
      <c r="U392" s="311"/>
      <c r="V392" s="311"/>
      <c r="W392" s="311"/>
      <c r="X392" s="138"/>
      <c r="Y392" s="311"/>
      <c r="Z392" s="311"/>
      <c r="AA392" s="311"/>
      <c r="AB392" s="311"/>
      <c r="AC392" s="311"/>
      <c r="AD392" s="311"/>
      <c r="AE392" s="884"/>
      <c r="AF392" s="884"/>
      <c r="AG392" s="884"/>
      <c r="AH392" s="885"/>
      <c r="AI392" s="138"/>
      <c r="AJ392" s="138"/>
      <c r="AK392" s="138"/>
      <c r="AL392" s="138"/>
      <c r="AM392" s="138"/>
      <c r="AN392" s="138"/>
      <c r="AO392" s="138"/>
      <c r="AP392" s="138"/>
      <c r="AQ392" s="138"/>
      <c r="AR392" s="138"/>
      <c r="AS392" s="138"/>
      <c r="AT392" s="138"/>
      <c r="AU392" s="138"/>
      <c r="AV392" s="138"/>
      <c r="AW392" s="138"/>
      <c r="AX392" s="138"/>
      <c r="AY392" s="138"/>
      <c r="BB392" s="138"/>
      <c r="BC392" s="138"/>
      <c r="BD392" s="138"/>
      <c r="BE392" s="138"/>
      <c r="BF392" s="138"/>
      <c r="BG392" s="138"/>
      <c r="BH392" s="138"/>
      <c r="BI392" s="138"/>
    </row>
    <row r="393" spans="1:61" ht="15" customHeight="1">
      <c r="A393" s="313"/>
      <c r="B393" s="461" t="s">
        <v>236</v>
      </c>
      <c r="C393" s="869" t="str">
        <f>IF(Tool!$H$7="Français",G393,IF(Tool!$H$7="Italiano",I393,E393))</f>
        <v>SNBS-Zertifizierungen</v>
      </c>
      <c r="D393" s="306" t="s">
        <v>236</v>
      </c>
      <c r="E393" s="1670" t="s">
        <v>339</v>
      </c>
      <c r="F393" s="1653"/>
      <c r="G393" s="1671" t="s">
        <v>352</v>
      </c>
      <c r="H393" s="306"/>
      <c r="I393" s="1623" t="s">
        <v>1137</v>
      </c>
      <c r="J393" s="364"/>
      <c r="K393" s="883" t="s">
        <v>447</v>
      </c>
      <c r="L393" s="884"/>
      <c r="M393" s="884"/>
      <c r="N393" s="884"/>
      <c r="O393" s="884"/>
      <c r="P393" s="885"/>
      <c r="Q393" s="752" t="s">
        <v>1482</v>
      </c>
      <c r="R393" s="884"/>
      <c r="S393" s="884"/>
      <c r="T393" s="884"/>
      <c r="U393" s="884"/>
      <c r="V393" s="885"/>
      <c r="W393" s="752" t="s">
        <v>1483</v>
      </c>
      <c r="X393" s="884"/>
      <c r="Y393" s="884"/>
      <c r="Z393" s="884"/>
      <c r="AA393" s="884"/>
      <c r="AB393" s="885"/>
      <c r="AC393" s="752" t="s">
        <v>1484</v>
      </c>
      <c r="AD393" s="884"/>
      <c r="AE393" s="594">
        <f>S315</f>
        <v>0</v>
      </c>
      <c r="AF393" s="445"/>
      <c r="AG393" s="445"/>
      <c r="AH393" s="38"/>
      <c r="AI393" s="138"/>
      <c r="AJ393" s="138"/>
      <c r="AK393" s="138"/>
      <c r="AL393" s="138"/>
      <c r="AM393" s="138"/>
      <c r="AN393" s="138"/>
      <c r="AO393" s="138"/>
      <c r="AP393" s="138"/>
      <c r="AQ393" s="138"/>
      <c r="AR393" s="138"/>
      <c r="AS393" s="138"/>
      <c r="AT393" s="138"/>
      <c r="AU393" s="138"/>
      <c r="AV393" s="138"/>
      <c r="AW393" s="138"/>
      <c r="AX393" s="138"/>
      <c r="AY393" s="138"/>
      <c r="BB393" s="138"/>
      <c r="BC393" s="138"/>
      <c r="BD393" s="138"/>
      <c r="BE393" s="138"/>
      <c r="BF393" s="138"/>
      <c r="BG393" s="138"/>
      <c r="BH393" s="138"/>
      <c r="BI393" s="138"/>
    </row>
    <row r="394" spans="1:61" ht="15" customHeight="1">
      <c r="A394" s="312"/>
      <c r="B394" s="333"/>
      <c r="C394" s="284" t="str">
        <f>IF(Tool!$H$7="Français",G394,IF(Tool!$H$7="Italiano",I394,E394))</f>
        <v>Der Pre-Check liefert Hinweise zum Nachhaltigkeitsgrad von Projekten, aufgrund des Genauigkeitsgrads können damit keine abschliessenden Rückschlüsse im Hinblick auf SNBS-Zertifizierungen gezogen werden. Die Zertifizierung gliedert sich in zwei Prüfrunden und verläuft gemäss folgendem Prozess:</v>
      </c>
      <c r="D394" s="300"/>
      <c r="E394" s="1621" t="s">
        <v>1140</v>
      </c>
      <c r="F394" s="1591"/>
      <c r="G394" s="1618" t="s">
        <v>1141</v>
      </c>
      <c r="H394" s="300"/>
      <c r="I394" s="319" t="s">
        <v>1142</v>
      </c>
      <c r="J394" s="364"/>
      <c r="K394" s="598" t="str">
        <f>$AL$23</f>
        <v>Qualität der Entwicklung</v>
      </c>
      <c r="L394" s="619" t="s">
        <v>415</v>
      </c>
      <c r="M394" s="595">
        <f>Q315</f>
        <v>0</v>
      </c>
      <c r="N394" s="445"/>
      <c r="O394" s="445"/>
      <c r="P394" s="1244"/>
      <c r="Q394" s="598" t="str">
        <f>$AL$23</f>
        <v>Qualität der Entwicklung</v>
      </c>
      <c r="R394" s="619" t="s">
        <v>415</v>
      </c>
      <c r="S394" s="595">
        <f>R315</f>
        <v>0</v>
      </c>
      <c r="T394" s="445"/>
      <c r="U394" s="445"/>
      <c r="V394" s="38"/>
      <c r="W394" s="598" t="str">
        <f>$AL$23</f>
        <v>Qualität der Entwicklung</v>
      </c>
      <c r="X394" s="619" t="s">
        <v>415</v>
      </c>
      <c r="Y394" s="595">
        <f>T315</f>
        <v>0</v>
      </c>
      <c r="Z394" s="445"/>
      <c r="AA394" s="445"/>
      <c r="AB394" s="38"/>
      <c r="AC394" s="598" t="str">
        <f>$AL$23</f>
        <v>Qualität der Entwicklung</v>
      </c>
      <c r="AD394" s="619" t="s">
        <v>415</v>
      </c>
      <c r="AE394" s="584">
        <f>S316</f>
        <v>0</v>
      </c>
      <c r="AF394" s="1"/>
      <c r="AG394" s="1"/>
      <c r="AH394" s="38"/>
      <c r="AI394" s="138"/>
      <c r="AJ394" s="138"/>
      <c r="AK394" s="138"/>
      <c r="AL394" s="138"/>
      <c r="AM394" s="138"/>
      <c r="AN394" s="138"/>
      <c r="AO394" s="138"/>
      <c r="AP394" s="138"/>
      <c r="AQ394" s="138"/>
      <c r="AR394" s="138"/>
      <c r="AS394" s="138"/>
      <c r="AT394" s="138"/>
      <c r="AU394" s="138"/>
      <c r="AV394" s="138"/>
      <c r="AW394" s="138"/>
      <c r="AX394" s="138"/>
      <c r="AY394" s="138"/>
      <c r="BB394" s="138"/>
      <c r="BC394" s="138"/>
      <c r="BD394" s="138"/>
      <c r="BE394" s="138"/>
      <c r="BF394" s="138"/>
      <c r="BG394" s="138"/>
      <c r="BH394" s="138"/>
      <c r="BI394" s="138"/>
    </row>
    <row r="395" spans="1:61" ht="15" customHeight="1">
      <c r="A395" s="313"/>
      <c r="B395" s="333"/>
      <c r="C395" s="284" t="str">
        <f>IF(Tool!$H$7="Français",G395,IF(Tool!$H$7="Italiano",I395,E395))</f>
        <v>Zertifizierbar ist der Neubau oder die Erneuerung von Gebäuden der Kategorien ''Wohnen'', ''Verwaltung/Büro'', ''Bildungsbauten'' und ''Gewerbenutzung im Erdgeschoss''. Objekte mit Erdgeschossnutzungen und anderen Nutzungen können ebenfalls zertifiziert werden, wenn diese weiteren Nutzungen nicht mehr als 20 % der Energiebezugsfläche in Anspruch nehmen.</v>
      </c>
      <c r="D395" s="300"/>
      <c r="E395" s="1621" t="s">
        <v>1138</v>
      </c>
      <c r="F395" s="1591"/>
      <c r="G395" s="1618" t="s">
        <v>1139</v>
      </c>
      <c r="H395" s="300"/>
      <c r="I395" s="319" t="s">
        <v>1883</v>
      </c>
      <c r="J395" s="364"/>
      <c r="K395" s="599" t="str">
        <f>$AL$26</f>
        <v>Angebot &amp; Erreichbarkeit</v>
      </c>
      <c r="L395" s="599"/>
      <c r="M395" s="585">
        <f>Q316</f>
        <v>0</v>
      </c>
      <c r="N395" s="1"/>
      <c r="O395" s="1"/>
      <c r="P395" s="38"/>
      <c r="Q395" s="1133" t="str">
        <f>$AL$26</f>
        <v>Angebot &amp; Erreichbarkeit</v>
      </c>
      <c r="R395" s="599"/>
      <c r="S395" s="585">
        <f>R316</f>
        <v>0</v>
      </c>
      <c r="T395" s="1"/>
      <c r="U395" s="1"/>
      <c r="V395" s="38"/>
      <c r="W395" s="1133" t="str">
        <f>$AL$26</f>
        <v>Angebot &amp; Erreichbarkeit</v>
      </c>
      <c r="X395" s="599"/>
      <c r="Y395" s="585">
        <f t="shared" ref="Y395" si="103">T316</f>
        <v>0</v>
      </c>
      <c r="Z395" s="1"/>
      <c r="AA395" s="1"/>
      <c r="AB395" s="38"/>
      <c r="AC395" s="1133" t="str">
        <f>$AL$26</f>
        <v>Angebot &amp; Erreichbarkeit</v>
      </c>
      <c r="AD395" s="599"/>
      <c r="AE395" s="584">
        <f>S317</f>
        <v>0</v>
      </c>
      <c r="AF395" s="1"/>
      <c r="AG395" s="1"/>
      <c r="AH395" s="38"/>
      <c r="AI395" s="138"/>
      <c r="AJ395" s="138"/>
      <c r="AK395" s="138"/>
      <c r="AL395" s="138"/>
      <c r="AM395" s="138"/>
      <c r="AN395" s="138"/>
      <c r="AO395" s="138"/>
      <c r="AP395" s="138"/>
      <c r="AQ395" s="138"/>
      <c r="AR395" s="138"/>
      <c r="AS395" s="138"/>
      <c r="AT395" s="138"/>
      <c r="AU395" s="138"/>
      <c r="AV395" s="138"/>
      <c r="AW395" s="138"/>
      <c r="AX395" s="138"/>
      <c r="AY395" s="138"/>
      <c r="BB395" s="138"/>
      <c r="BC395" s="138"/>
      <c r="BD395" s="138"/>
      <c r="BE395" s="138"/>
      <c r="BF395" s="138"/>
      <c r="BG395" s="138"/>
      <c r="BH395" s="138"/>
      <c r="BI395" s="138"/>
    </row>
    <row r="396" spans="1:61" ht="15" customHeight="1">
      <c r="A396" s="313"/>
      <c r="B396" s="333"/>
      <c r="C396" s="284" t="str">
        <f>IF(Tool!$H$7="Français",G396,IF(Tool!$H$7="Italiano",I396,E396))</f>
        <v>Im Rahmen der Zertifizierung wird jedes der 35 Kriterien mit einer Note von 1 bis 6 bewertet. Die Gesamtnote für ein Projekt entspricht dem arithmetischen Mittel aller Kriterien. Teilnoten werden für die drei Bereiche ''Gesellschaft'', ''Wirtschaft'' und ''Umwelt'' ausgewiesen, sind aber rein informativ. Folgende Auszeichnungen können erreicht werden: ''Platin'' (bei einer Gesamtnote zwischen 5.5 und 6), ''Gold'' (5 bis 5.4) und ''Silber'' (4 bis 4.9).</v>
      </c>
      <c r="D396" s="300"/>
      <c r="E396" s="1419" t="s">
        <v>1658</v>
      </c>
      <c r="F396" s="1591"/>
      <c r="G396" s="972" t="s">
        <v>1969</v>
      </c>
      <c r="H396" s="300"/>
      <c r="I396" s="319" t="s">
        <v>1979</v>
      </c>
      <c r="J396" s="364"/>
      <c r="K396" s="1133" t="str">
        <f>$AL$28</f>
        <v>Gebrauchsqualität</v>
      </c>
      <c r="L396" s="599"/>
      <c r="M396" s="585">
        <f>Q317</f>
        <v>0</v>
      </c>
      <c r="N396" s="1"/>
      <c r="O396" s="1"/>
      <c r="P396" s="38"/>
      <c r="Q396" s="1133" t="str">
        <f>$AL$28</f>
        <v>Gebrauchsqualität</v>
      </c>
      <c r="R396" s="599"/>
      <c r="S396" s="585">
        <f>R317</f>
        <v>0</v>
      </c>
      <c r="T396" s="1"/>
      <c r="U396" s="1"/>
      <c r="V396" s="38"/>
      <c r="W396" s="607" t="str">
        <f>$AL$38</f>
        <v>Lebenszyklus</v>
      </c>
      <c r="X396" s="607"/>
      <c r="Y396" s="588">
        <f>T321</f>
        <v>0</v>
      </c>
      <c r="Z396" s="1"/>
      <c r="AA396" s="1"/>
      <c r="AB396" s="38"/>
      <c r="AC396" s="1133" t="str">
        <f>$AL$28</f>
        <v>Gebrauchsqualität</v>
      </c>
      <c r="AD396" s="599"/>
      <c r="AE396" s="584">
        <f>S318</f>
        <v>0</v>
      </c>
      <c r="AF396" s="1"/>
      <c r="AG396" s="1"/>
      <c r="AH396" s="38"/>
      <c r="AI396" s="138"/>
      <c r="AJ396" s="138"/>
      <c r="AK396" s="138"/>
      <c r="AL396" s="138"/>
      <c r="AM396" s="138"/>
      <c r="AN396" s="138"/>
      <c r="AO396" s="138"/>
      <c r="AP396" s="138"/>
      <c r="AQ396" s="138"/>
      <c r="AR396" s="138"/>
      <c r="AS396" s="138"/>
      <c r="AT396" s="138"/>
      <c r="AU396" s="138"/>
      <c r="AV396" s="138"/>
      <c r="AW396" s="138"/>
      <c r="AX396" s="138"/>
      <c r="AY396" s="138"/>
      <c r="BB396" s="138"/>
      <c r="BC396" s="138"/>
      <c r="BD396" s="138"/>
      <c r="BE396" s="138"/>
      <c r="BF396" s="138"/>
      <c r="BG396" s="138"/>
      <c r="BH396" s="138"/>
      <c r="BI396" s="138"/>
    </row>
    <row r="397" spans="1:61" ht="15" customHeight="1">
      <c r="A397" s="313"/>
      <c r="B397" s="333"/>
      <c r="C397" s="284" t="str">
        <f>IF(Tool!$H$7="Français",G397,IF(Tool!$H$7="Italiano",I397,E397))</f>
        <v>Pro Bereich (Gesellschaft, Wirtschaft und Umwelt) darf bei Neubauten maximal ein Kriterium ungenügend sein. Mit bis zu zwei ungenügenden Noten kann jedoch bestenfalls die Stufe ''Gold'' erreicht werden, mit drei ungenügenden Noten nur noch die Stufe ''Silber''. Die Stufe "Platin" kann mit ungenügenden Noten nicht erreicht werden.</v>
      </c>
      <c r="D397" s="300"/>
      <c r="E397" s="1621" t="s">
        <v>1659</v>
      </c>
      <c r="F397" s="1591"/>
      <c r="G397" s="1618" t="s">
        <v>1998</v>
      </c>
      <c r="H397" s="300"/>
      <c r="I397" s="319" t="s">
        <v>1884</v>
      </c>
      <c r="J397" s="316"/>
      <c r="K397" s="599" t="str">
        <f>$AL$30</f>
        <v>Wohlbefinden &amp; Gesundheit</v>
      </c>
      <c r="L397" s="599"/>
      <c r="M397" s="585">
        <f>Q318</f>
        <v>0</v>
      </c>
      <c r="N397" s="1"/>
      <c r="O397" s="1"/>
      <c r="P397" s="38"/>
      <c r="Q397" s="599" t="str">
        <f>$AL$30</f>
        <v>Wohlbefinden &amp; Gesundheit</v>
      </c>
      <c r="R397" s="599"/>
      <c r="S397" s="585">
        <f>R318</f>
        <v>0</v>
      </c>
      <c r="T397" s="1"/>
      <c r="U397" s="1"/>
      <c r="V397" s="38"/>
      <c r="W397" s="607" t="str">
        <f>$AL$41</f>
        <v>Nutzbarkeit</v>
      </c>
      <c r="X397" s="607"/>
      <c r="Y397" s="588">
        <f>T322</f>
        <v>0</v>
      </c>
      <c r="Z397" s="1"/>
      <c r="AA397" s="1"/>
      <c r="AB397" s="38"/>
      <c r="AC397" s="1133" t="str">
        <f>$AL$30</f>
        <v>Wohlbefinden &amp; Gesundheit</v>
      </c>
      <c r="AD397" s="599"/>
      <c r="AE397" s="588">
        <f>S321</f>
        <v>0</v>
      </c>
      <c r="AF397" s="1"/>
      <c r="AG397" s="1"/>
      <c r="AH397" s="38"/>
      <c r="AI397" s="138"/>
      <c r="AJ397" s="138"/>
      <c r="AK397" s="138"/>
      <c r="AL397" s="138"/>
      <c r="AM397" s="138"/>
      <c r="AN397" s="138"/>
      <c r="AO397" s="138"/>
      <c r="AP397" s="138"/>
      <c r="AQ397" s="138"/>
      <c r="AR397" s="138"/>
      <c r="AS397" s="138"/>
      <c r="AT397" s="138"/>
      <c r="AU397" s="138"/>
      <c r="AV397" s="138"/>
      <c r="AW397" s="138"/>
      <c r="AX397" s="138"/>
      <c r="AY397" s="138"/>
      <c r="BB397" s="138"/>
      <c r="BC397" s="138"/>
      <c r="BD397" s="138"/>
      <c r="BE397" s="138"/>
      <c r="BF397" s="138"/>
      <c r="BG397" s="138"/>
      <c r="BH397" s="138"/>
      <c r="BI397" s="138"/>
    </row>
    <row r="398" spans="1:61" ht="15" customHeight="1">
      <c r="A398" s="313"/>
      <c r="B398" s="333"/>
      <c r="C398" s="284" t="str">
        <f>IF(Tool!$H$7="Français",G398,IF(Tool!$H$7="Italiano",I398,E398))</f>
        <v>Für eine Zertifizierung auf Stufe Gold oder Platin muss das Kriterium 112 ''Städtebau &amp; Architektur'' zwingend genügend sein (Note gleich oder höher als 4).</v>
      </c>
      <c r="D398" s="301"/>
      <c r="E398" s="1621" t="str">
        <f>"Für eine Zertifizierung auf Stufe Gold oder Platin muss das Kriterium "&amp;AQ24&amp;" ''"&amp;AR24&amp;"'' zwingend genügend sein (Note gleich oder höher als 4)."</f>
        <v>Für eine Zertifizierung auf Stufe Gold oder Platin muss das Kriterium 112 ''Städtebau &amp; Architektur'' zwingend genügend sein (Note gleich oder höher als 4).</v>
      </c>
      <c r="F398" s="1634"/>
      <c r="G398" s="1619" t="str">
        <f>"Pour une certification de niveau ''Or'' ou ''Platine'', le critère "&amp;AQ25&amp;" ''"&amp;AR25&amp;"'' doit obligatoirement être suffisant (note égale ou supérieure à 4)."</f>
        <v>Pour une certification de niveau ''Or'' ou ''Platine'', le critère 113 ''Partizipation'' doit obligatoirement être suffisant (note égale ou supérieure à 4).</v>
      </c>
      <c r="H398" s="301"/>
      <c r="I398" s="1621" t="str">
        <f>"Per la certificazione a livello ''oro'' o ''platino'', il criterio "&amp;AQ24&amp;" ''"&amp;AR24&amp;"'' deve essere necessariamente sufficiente (voto uguale o superiore a 4)."</f>
        <v>Per la certificazione a livello ''oro'' o ''platino'', il criterio 112 ''Städtebau &amp; Architektur'' deve essere necessariamente sufficiente (voto uguale o superiore a 4).</v>
      </c>
      <c r="J398" s="316"/>
      <c r="K398" s="607" t="str">
        <f>$AL$38</f>
        <v>Lebenszyklus</v>
      </c>
      <c r="L398" s="607"/>
      <c r="M398" s="588">
        <f>Q321</f>
        <v>0</v>
      </c>
      <c r="N398" s="1"/>
      <c r="O398" s="1"/>
      <c r="P398" s="38"/>
      <c r="Q398" s="607" t="str">
        <f>$AL$38</f>
        <v>Lebenszyklus</v>
      </c>
      <c r="R398" s="607"/>
      <c r="S398" s="588">
        <f>R321</f>
        <v>0</v>
      </c>
      <c r="T398" s="1"/>
      <c r="U398" s="1"/>
      <c r="V398" s="38"/>
      <c r="W398" s="1135" t="str">
        <f>$AL$46</f>
        <v>Klimaschutz</v>
      </c>
      <c r="X398" s="612"/>
      <c r="Y398" s="590">
        <f>T326</f>
        <v>0</v>
      </c>
      <c r="Z398" s="1"/>
      <c r="AA398" s="1"/>
      <c r="AB398" s="38"/>
      <c r="AC398" s="607" t="str">
        <f>$AL$38</f>
        <v>Lebenszyklus</v>
      </c>
      <c r="AD398" s="607"/>
      <c r="AE398" s="588">
        <f>S322</f>
        <v>0</v>
      </c>
      <c r="AF398" s="1"/>
      <c r="AG398" s="1"/>
      <c r="AH398" s="38"/>
      <c r="AI398" s="138"/>
      <c r="AJ398" s="138"/>
      <c r="AK398" s="138"/>
      <c r="AL398" s="138"/>
      <c r="AM398" s="138"/>
      <c r="AN398" s="138"/>
      <c r="AO398" s="138"/>
      <c r="AP398" s="138"/>
      <c r="AQ398" s="138"/>
      <c r="AR398" s="138"/>
      <c r="AS398" s="138"/>
      <c r="AT398" s="138"/>
      <c r="AU398" s="138"/>
      <c r="AV398" s="138"/>
      <c r="AW398" s="138"/>
      <c r="AX398" s="138"/>
      <c r="AY398" s="138"/>
      <c r="BB398" s="138"/>
      <c r="BC398" s="138"/>
      <c r="BD398" s="138"/>
      <c r="BE398" s="138"/>
      <c r="BF398" s="138"/>
      <c r="BG398" s="138"/>
      <c r="BH398" s="138"/>
      <c r="BI398" s="138"/>
    </row>
    <row r="399" spans="1:61" ht="15" customHeight="1">
      <c r="A399" s="313"/>
      <c r="B399" s="331" t="s">
        <v>237</v>
      </c>
      <c r="C399" s="869" t="str">
        <f>IF(Tool!$H$7="Français",G399,IF(Tool!$H$7="Italiano",I399,E399))</f>
        <v>Bei Erneuerung</v>
      </c>
      <c r="D399" s="913" t="s">
        <v>237</v>
      </c>
      <c r="E399" s="1620" t="s">
        <v>171</v>
      </c>
      <c r="F399" s="1631" t="s">
        <v>236</v>
      </c>
      <c r="G399" s="1652" t="s">
        <v>120</v>
      </c>
      <c r="H399" s="913"/>
      <c r="I399" s="1620" t="s">
        <v>1145</v>
      </c>
      <c r="J399" s="316"/>
      <c r="K399" s="607" t="str">
        <f>$AL$41</f>
        <v>Nutzbarkeit</v>
      </c>
      <c r="L399" s="607"/>
      <c r="M399" s="588">
        <f>Q322</f>
        <v>0</v>
      </c>
      <c r="N399" s="1"/>
      <c r="O399" s="1"/>
      <c r="P399" s="38"/>
      <c r="Q399" s="607" t="str">
        <f>$AL$41</f>
        <v>Nutzbarkeit</v>
      </c>
      <c r="R399" s="607"/>
      <c r="S399" s="588">
        <f>R322</f>
        <v>0</v>
      </c>
      <c r="T399" s="1"/>
      <c r="U399" s="1"/>
      <c r="V399" s="38"/>
      <c r="W399" s="1136" t="str">
        <f>$AL$57</f>
        <v>Natur &amp; Landschaft</v>
      </c>
      <c r="X399" s="618"/>
      <c r="Y399" s="593">
        <f>T328</f>
        <v>0</v>
      </c>
      <c r="Z399" s="1"/>
      <c r="AA399" s="1"/>
      <c r="AB399" s="38"/>
      <c r="AC399" s="607" t="str">
        <f>$AL$41</f>
        <v>Nutzbarkeit</v>
      </c>
      <c r="AD399" s="607"/>
      <c r="AE399" s="590">
        <f>S327</f>
        <v>0</v>
      </c>
      <c r="AF399" s="1"/>
      <c r="AG399" s="1"/>
      <c r="AH399" s="38"/>
      <c r="AI399" s="138"/>
      <c r="AJ399" s="138"/>
      <c r="AK399" s="138"/>
      <c r="AL399" s="138"/>
      <c r="AM399" s="138"/>
      <c r="AN399" s="138"/>
      <c r="AO399" s="138"/>
      <c r="AP399" s="138"/>
      <c r="AQ399" s="138"/>
      <c r="AR399" s="138"/>
      <c r="AS399" s="138"/>
      <c r="AT399" s="138"/>
      <c r="AU399" s="138"/>
      <c r="AV399" s="138"/>
      <c r="AW399" s="138"/>
      <c r="AX399" s="138"/>
      <c r="AY399" s="138"/>
      <c r="BB399" s="138"/>
      <c r="BC399" s="138"/>
      <c r="BD399" s="138"/>
      <c r="BE399" s="138"/>
      <c r="BF399" s="138"/>
      <c r="BG399" s="138"/>
      <c r="BH399" s="138"/>
      <c r="BI399" s="138"/>
    </row>
    <row r="400" spans="1:61" ht="15" customHeight="1">
      <c r="A400" s="312"/>
      <c r="B400" s="333"/>
      <c r="C400" s="284" t="str">
        <f>IF(Tool!$H$7="Français",G400,IF(Tool!$H$7="Italiano",I400,E400))</f>
        <v>Grundsätzlich werden Erneuerungen gleich wie Neubauten bewertet und es gelten dieselben Anforderungen. Auf Grund von strukturellen oder konstruktiven Gegebenheiten sind bei folgenden Kriterien zusätzliche ungenügende Bewertungen zulässig:</v>
      </c>
      <c r="D400" s="302"/>
      <c r="E400" s="1618" t="s">
        <v>1143</v>
      </c>
      <c r="F400" s="1634"/>
      <c r="G400" s="972" t="s">
        <v>1144</v>
      </c>
      <c r="H400" s="302"/>
      <c r="I400" s="319" t="s">
        <v>1885</v>
      </c>
      <c r="J400" s="316"/>
      <c r="K400" s="1134" t="str">
        <f>$AL$44</f>
        <v>Regionalökonomie</v>
      </c>
      <c r="L400" s="607"/>
      <c r="M400" s="588">
        <f>Q323</f>
        <v>0</v>
      </c>
      <c r="N400" s="1"/>
      <c r="O400" s="1"/>
      <c r="P400" s="38"/>
      <c r="Q400" s="1135" t="str">
        <f>$AL$46</f>
        <v>Klimaschutz</v>
      </c>
      <c r="R400" s="612"/>
      <c r="S400" s="590">
        <f>R326</f>
        <v>0</v>
      </c>
      <c r="T400" s="1"/>
      <c r="U400" s="1"/>
      <c r="V400" s="38"/>
      <c r="Z400" s="1"/>
      <c r="AA400" s="1"/>
      <c r="AB400" s="38"/>
      <c r="AC400" s="1135" t="str">
        <f>$AL$49</f>
        <v>Energie</v>
      </c>
      <c r="AD400" s="612"/>
      <c r="AE400" s="590">
        <f>S328</f>
        <v>0</v>
      </c>
      <c r="AF400" s="1"/>
      <c r="AG400" s="1"/>
      <c r="AH400" s="38"/>
      <c r="AI400" s="138"/>
      <c r="AJ400" s="138"/>
      <c r="AK400" s="138"/>
      <c r="AL400" s="138"/>
      <c r="AM400" s="138"/>
      <c r="AN400" s="138"/>
      <c r="AO400" s="138"/>
      <c r="AP400" s="138"/>
      <c r="AQ400" s="138"/>
      <c r="AR400" s="138"/>
      <c r="AS400" s="138"/>
      <c r="AT400" s="138"/>
      <c r="AU400" s="138"/>
      <c r="AV400" s="138"/>
      <c r="AW400" s="138"/>
      <c r="AX400" s="138"/>
      <c r="AY400" s="138"/>
      <c r="BB400" s="138"/>
      <c r="BC400" s="138"/>
      <c r="BD400" s="138"/>
      <c r="BE400" s="138"/>
      <c r="BF400" s="138"/>
      <c r="BG400" s="138"/>
      <c r="BH400" s="138"/>
      <c r="BI400" s="138"/>
    </row>
    <row r="401" spans="1:61" ht="15" customHeight="1">
      <c r="A401" s="313"/>
      <c r="B401" s="333"/>
      <c r="C401" s="284" t="str">
        <f>IF(Tool!$H$7="Français",G401,IF(Tool!$H$7="Italiano",I401,E401))</f>
        <v>145 ''Winterlicher Wärmeschutz''
147 ''Schallschutz'' (Verwaltung und Bildungsbauten)
222 ''Nutzungsdichte'' (Bildungsbauten)
223 ''Nutzungsflexibilität &amp; -variabilität''</v>
      </c>
      <c r="D401" s="302"/>
      <c r="E401" s="1618" t="str">
        <f>""&amp;AQ34&amp;" ''"&amp;AR34&amp;"''
"&amp;AQ36&amp;" ''"&amp;AR36&amp;"'' (Verwaltung und Bildungsbauten)
"&amp;AQ42&amp;" ''"&amp;AR42&amp;"'' (Bildungsbauten)
"&amp;AQ43&amp;" ''"&amp;AR43&amp;"''"</f>
        <v>145 ''Winterlicher Wärmeschutz''
147 ''Schallschutz'' (Verwaltung und Bildungsbauten)
222 ''Nutzungsdichte'' (Bildungsbauten)
223 ''Nutzungsflexibilität &amp; -variabilität''</v>
      </c>
      <c r="F401" s="1634"/>
      <c r="G401" s="972" t="str">
        <f>""&amp;AQ34&amp;" ''"&amp;AR34&amp;"''
"&amp;AQ36&amp;" ''"&amp;AR36&amp;"'' (Verwaltung und Bildungsbauten)
"&amp;AQ42&amp;" ''"&amp;AR42&amp;"'' (Bildungsbauten)
"&amp;AQ43&amp;" ''"&amp;AR43&amp;"''"</f>
        <v>145 ''Winterlicher Wärmeschutz''
147 ''Schallschutz'' (Verwaltung und Bildungsbauten)
222 ''Nutzungsdichte'' (Bildungsbauten)
223 ''Nutzungsflexibilität &amp; -variabilität''</v>
      </c>
      <c r="H401" s="302"/>
      <c r="I401" s="319" t="str">
        <f>""&amp;AQ34&amp;" ''"&amp;AR34&amp;"''
"&amp;AQ36&amp;" ''"&amp;AR36&amp;"'' (edifici amministrativi e scolastici)
"&amp;AQ42&amp;" ''"&amp;AR42&amp;"'' (scuole)
"&amp;AQ43&amp;" ''"&amp;AR43&amp;"''"</f>
        <v>145 ''Winterlicher Wärmeschutz''
147 ''Schallschutz'' (edifici amministrativi e scolastici)
222 ''Nutzungsdichte'' (scuole)
223 ''Nutzungsflexibilität &amp; -variabilität''</v>
      </c>
      <c r="J401" s="361"/>
      <c r="K401" s="1135" t="str">
        <f>$AL$46</f>
        <v>Klimaschutz</v>
      </c>
      <c r="L401" s="612"/>
      <c r="M401" s="590">
        <f>Q326</f>
        <v>0</v>
      </c>
      <c r="N401" s="1"/>
      <c r="O401" s="1"/>
      <c r="P401" s="38"/>
      <c r="Q401" s="668" t="str">
        <f>$AL$49</f>
        <v>Energie</v>
      </c>
      <c r="R401" s="617"/>
      <c r="S401" s="590">
        <f>R327</f>
        <v>0</v>
      </c>
      <c r="T401" s="1"/>
      <c r="U401" s="1"/>
      <c r="V401" s="38"/>
      <c r="W401" s="442"/>
      <c r="X401" s="1"/>
      <c r="Y401" s="1"/>
      <c r="Z401" s="1"/>
      <c r="AA401" s="1"/>
      <c r="AB401" s="38"/>
      <c r="AC401" s="668" t="str">
        <f>$AL$51</f>
        <v>Ressourcenschonung &amp; Umweltschutz</v>
      </c>
      <c r="AD401" s="617"/>
      <c r="AE401" s="1498">
        <f>S329</f>
        <v>0</v>
      </c>
      <c r="AF401" s="1"/>
      <c r="AG401" s="1"/>
      <c r="AH401" s="38"/>
      <c r="AI401" s="138"/>
      <c r="AJ401" s="138"/>
      <c r="AK401" s="138"/>
      <c r="AL401" s="138"/>
      <c r="AM401" s="138"/>
      <c r="AN401" s="138"/>
      <c r="AO401" s="138"/>
      <c r="AP401" s="138"/>
      <c r="AQ401" s="138"/>
      <c r="AR401" s="138"/>
      <c r="AS401" s="138"/>
      <c r="AT401" s="138"/>
      <c r="AU401" s="138"/>
      <c r="AV401" s="138"/>
      <c r="AW401" s="138"/>
      <c r="AX401" s="138"/>
      <c r="AY401" s="138"/>
      <c r="BB401" s="138"/>
      <c r="BC401" s="138"/>
      <c r="BD401" s="138"/>
      <c r="BE401" s="138"/>
      <c r="BF401" s="138"/>
      <c r="BG401" s="138"/>
      <c r="BH401" s="138"/>
      <c r="BI401" s="138"/>
    </row>
    <row r="402" spans="1:61" ht="15" customHeight="1">
      <c r="A402" s="313"/>
      <c r="B402" s="333"/>
      <c r="C402" s="284" t="str">
        <f>IF(Tool!$H$7="Français",G402,IF(Tool!$H$7="Italiano",I402,E402))</f>
        <v>Allgemeine Hinweise: Sie können das Menü und die Kriterienliste oben jederzeit ein- oder ausblenden.
In der Hilfsspalte im rechten Bereich können werden Hilfswerkzeuge und interessante Links zu den einzelnen Kriterien angezeigt.
Wenn Sie nicht den gesamten Text einer Frage lesen können, versuchen Sie im Excel, die Zoomeinstellung des Fensters anzupassen.</v>
      </c>
      <c r="D402" s="302"/>
      <c r="E402" s="1618" t="s">
        <v>1660</v>
      </c>
      <c r="F402" s="1634"/>
      <c r="G402" s="972" t="s">
        <v>1970</v>
      </c>
      <c r="H402" s="302"/>
      <c r="I402" s="1618" t="s">
        <v>1890</v>
      </c>
      <c r="J402" s="316"/>
      <c r="K402" s="668" t="str">
        <f>$AL$49</f>
        <v>Energie</v>
      </c>
      <c r="L402" s="617"/>
      <c r="M402" s="590">
        <f>Q327</f>
        <v>0</v>
      </c>
      <c r="N402" s="1"/>
      <c r="O402" s="1"/>
      <c r="P402" s="38"/>
      <c r="Q402" s="668" t="str">
        <f>$AL$51</f>
        <v>Ressourcenschonung &amp; Umweltschutz</v>
      </c>
      <c r="R402" s="617"/>
      <c r="S402" s="590">
        <f>R328</f>
        <v>0</v>
      </c>
      <c r="T402" s="1"/>
      <c r="U402" s="1"/>
      <c r="V402" s="38"/>
      <c r="W402" s="442"/>
      <c r="X402" s="1"/>
      <c r="Y402" s="1"/>
      <c r="Z402" s="1"/>
      <c r="AA402" s="1"/>
      <c r="AB402" s="38"/>
      <c r="AC402" s="1136" t="str">
        <f>$AL$57</f>
        <v>Natur &amp; Landschaft</v>
      </c>
      <c r="AD402" s="618"/>
      <c r="AE402" s="1"/>
      <c r="AF402" s="1"/>
      <c r="AG402" s="1"/>
      <c r="AH402" s="38"/>
      <c r="AI402" s="138"/>
      <c r="AJ402" s="138"/>
      <c r="AK402" s="138"/>
      <c r="AL402" s="138"/>
      <c r="AM402" s="138"/>
      <c r="AN402" s="138"/>
      <c r="AO402" s="138"/>
      <c r="AP402" s="138"/>
      <c r="AQ402" s="138"/>
      <c r="AR402" s="138"/>
      <c r="AS402" s="138"/>
      <c r="AT402" s="138"/>
      <c r="AU402" s="138"/>
      <c r="AV402" s="138"/>
      <c r="AW402" s="138"/>
      <c r="AX402" s="138"/>
      <c r="AY402" s="138"/>
      <c r="BB402" s="138"/>
      <c r="BC402" s="138"/>
      <c r="BD402" s="138"/>
      <c r="BE402" s="138"/>
      <c r="BF402" s="138"/>
      <c r="BG402" s="138"/>
      <c r="BH402" s="138"/>
      <c r="BI402" s="138"/>
    </row>
    <row r="403" spans="1:61" ht="15" customHeight="1">
      <c r="A403" s="313"/>
      <c r="B403" s="307" t="s">
        <v>338</v>
      </c>
      <c r="C403" s="869" t="str">
        <f>IF(Tool!$H$7="Français",G403,IF(Tool!$H$7="Italiano",I403,E403))</f>
        <v>Klima-Check</v>
      </c>
      <c r="D403" s="306" t="s">
        <v>338</v>
      </c>
      <c r="E403" s="1654" t="s">
        <v>567</v>
      </c>
      <c r="F403" s="1653" t="s">
        <v>338</v>
      </c>
      <c r="G403" s="1622" t="s">
        <v>1160</v>
      </c>
      <c r="H403" s="306"/>
      <c r="I403" s="1622" t="s">
        <v>1161</v>
      </c>
      <c r="J403" s="316"/>
      <c r="K403" s="668" t="str">
        <f>$AL$51</f>
        <v>Ressourcenschonung &amp; Umweltschutz</v>
      </c>
      <c r="L403" s="617"/>
      <c r="M403" s="590">
        <f>Q328</f>
        <v>0</v>
      </c>
      <c r="N403" s="1"/>
      <c r="O403" s="1"/>
      <c r="P403" s="38"/>
      <c r="Q403" s="1136" t="str">
        <f>$AL$57</f>
        <v>Natur &amp; Landschaft</v>
      </c>
      <c r="R403" s="618"/>
      <c r="S403" s="593">
        <f>R329</f>
        <v>0</v>
      </c>
      <c r="T403" s="1"/>
      <c r="U403" s="1"/>
      <c r="V403" s="38"/>
      <c r="W403" s="442"/>
      <c r="X403" s="1"/>
      <c r="Y403" s="1"/>
      <c r="Z403" s="1"/>
      <c r="AA403" s="1"/>
      <c r="AB403" s="38"/>
      <c r="AC403" s="442"/>
      <c r="AD403" s="1"/>
      <c r="AE403" s="1"/>
      <c r="AF403" s="1"/>
      <c r="AG403" s="1"/>
      <c r="AH403" s="38"/>
      <c r="AI403" s="138"/>
      <c r="AJ403" s="138"/>
      <c r="AK403" s="138"/>
      <c r="AL403" s="138"/>
      <c r="AM403" s="138"/>
      <c r="AN403" s="138"/>
      <c r="AO403" s="138"/>
      <c r="AP403" s="138"/>
      <c r="AQ403" s="138"/>
      <c r="AR403" s="138"/>
      <c r="AS403" s="138"/>
      <c r="AT403" s="138"/>
      <c r="AU403" s="138"/>
      <c r="AV403" s="138"/>
      <c r="AW403" s="138"/>
      <c r="AX403" s="138"/>
      <c r="AY403" s="138"/>
      <c r="BB403" s="138"/>
      <c r="BC403" s="138"/>
      <c r="BD403" s="138"/>
      <c r="BE403" s="138"/>
      <c r="BF403" s="138"/>
      <c r="BG403" s="138"/>
      <c r="BH403" s="138"/>
      <c r="BI403" s="138"/>
    </row>
    <row r="404" spans="1:61" ht="15" customHeight="1">
      <c r="A404" s="138"/>
      <c r="B404" s="295"/>
      <c r="C404" s="284" t="str">
        <f>IF(Tool!$H$7="Français",G404,IF(Tool!$H$7="Italiano",I404,E404))</f>
        <v xml:space="preserve">Beim ''Klima-Check SNBS 2023.1 Hochbau'' handelt es sich um ein fakultativ anwendbares Zusatzmodul zum ''Pre-Check SNBS 2023.1 Hochbau''. Es ermittelt die Klimawandelgerechtigkeit eines Bauvorhabens. Das heisst, es ermittelt einerseits, inwiefern das untersuchte Gebäude auf das Klima der Zukunft vorbereitet ist (Klimaanpassung), und andererseits, ob es einen Beitrag zur Minderung des Klimawandels leistet (Klimaschutz). Die Fragenbeantwortung zum ''Klima-Check'' stützt auf die SNBS-Kriterienstruktur ab und erfolgt demnach parallel zur ''Pre-Check''-Abfrage. Es ist jedoch durchaus möglich, nur eines der beiden Module – ''Pre-Check'' oder ''Klima-Check'' – im vorliegenden Tool anzuwenden. </v>
      </c>
      <c r="D404" s="300"/>
      <c r="E404" s="1655" t="s">
        <v>1151</v>
      </c>
      <c r="F404" s="1591"/>
      <c r="G404" s="972" t="s">
        <v>1152</v>
      </c>
      <c r="H404" s="300"/>
      <c r="I404" s="319" t="s">
        <v>1886</v>
      </c>
      <c r="J404" s="316"/>
      <c r="K404" s="1136" t="str">
        <f>$AL$57</f>
        <v>Natur &amp; Landschaft</v>
      </c>
      <c r="L404" s="618"/>
      <c r="M404" s="593">
        <f>Q329</f>
        <v>0</v>
      </c>
      <c r="N404" s="1"/>
      <c r="O404" s="1"/>
      <c r="P404" s="38"/>
      <c r="Q404" s="442"/>
      <c r="R404" s="1"/>
      <c r="S404" s="1"/>
      <c r="T404" s="1"/>
      <c r="U404" s="1"/>
      <c r="V404" s="38"/>
      <c r="W404" s="442"/>
      <c r="X404" s="1"/>
      <c r="Y404" s="1"/>
      <c r="Z404" s="1"/>
      <c r="AA404" s="1"/>
      <c r="AB404" s="38"/>
      <c r="AC404" s="442"/>
      <c r="AD404" s="1"/>
      <c r="AE404" s="447"/>
      <c r="AF404" s="447"/>
      <c r="AG404" s="447"/>
      <c r="AH404" s="444"/>
      <c r="AI404" s="138"/>
      <c r="AJ404" s="138"/>
      <c r="AK404" s="138"/>
      <c r="AL404" s="138"/>
      <c r="AM404" s="138"/>
      <c r="AN404" s="138"/>
      <c r="AO404" s="138"/>
      <c r="AP404" s="138"/>
      <c r="AQ404" s="138"/>
      <c r="AR404" s="138"/>
      <c r="AS404" s="138"/>
      <c r="AT404" s="138"/>
      <c r="AU404" s="138"/>
      <c r="AV404" s="138"/>
      <c r="AW404" s="138"/>
      <c r="AX404" s="138"/>
      <c r="AY404" s="138"/>
      <c r="BB404" s="138"/>
      <c r="BC404" s="138"/>
      <c r="BD404" s="138"/>
      <c r="BE404" s="138"/>
      <c r="BF404" s="138"/>
      <c r="BG404" s="138"/>
      <c r="BH404" s="138"/>
      <c r="BI404" s="138"/>
    </row>
    <row r="405" spans="1:61" ht="15" customHeight="1">
      <c r="A405" s="138"/>
      <c r="B405" s="295"/>
      <c r="C405" s="284" t="str">
        <f>IF(Tool!$H$7="Français",G405,IF(Tool!$H$7="Italiano",I405,E405))</f>
        <v>Das Klima der Zukunft wird sich erheblich vom heutigen unterscheiden. Die Forschung sagt u.a. einen deutlichen Temperaturanstieg, heftigere Niederschläge und eine Erhöhung der Naturgefahren voraus [CH 2018]*.  Gebäude, die heute geplant werden, sind während deren Lebenszeit auch dem Klima der Zukunft ausgesetzt. Demnach ist es wichtig, dass sie auch mit den künftigen Gegebenheiten unseren Ansprüchen genügen, z. B. bei höheren Sommertemperaturen den Behaglichkeitsanforderungen entsprechen.</v>
      </c>
      <c r="D405" s="300"/>
      <c r="E405" s="1655" t="s">
        <v>1154</v>
      </c>
      <c r="F405" s="1591"/>
      <c r="G405" s="972" t="s">
        <v>1155</v>
      </c>
      <c r="H405" s="300"/>
      <c r="I405" s="319" t="s">
        <v>1887</v>
      </c>
      <c r="J405" s="316"/>
      <c r="N405" s="447"/>
      <c r="O405" s="447"/>
      <c r="P405" s="444"/>
      <c r="Q405" s="443"/>
      <c r="R405" s="447"/>
      <c r="S405" s="447"/>
      <c r="T405" s="447"/>
      <c r="U405" s="447"/>
      <c r="V405" s="444"/>
      <c r="W405" s="443"/>
      <c r="X405" s="447"/>
      <c r="Y405" s="447"/>
      <c r="Z405" s="447"/>
      <c r="AA405" s="447"/>
      <c r="AB405" s="444"/>
      <c r="AC405" s="443"/>
      <c r="AD405" s="447"/>
      <c r="AE405" s="138"/>
      <c r="AF405" s="138"/>
      <c r="AG405" s="138"/>
      <c r="AH405" s="138"/>
      <c r="AI405" s="138"/>
      <c r="AJ405" s="138"/>
      <c r="AK405" s="138"/>
      <c r="AL405" s="138"/>
      <c r="AM405" s="138"/>
      <c r="AN405" s="138"/>
      <c r="AO405" s="138"/>
      <c r="AP405" s="138"/>
      <c r="AQ405" s="138"/>
      <c r="AR405" s="138"/>
      <c r="AS405" s="138"/>
      <c r="AT405" s="138"/>
      <c r="AU405" s="138"/>
      <c r="AV405" s="138"/>
      <c r="AW405" s="138"/>
      <c r="AX405" s="138"/>
      <c r="AY405" s="138"/>
      <c r="BB405" s="138"/>
      <c r="BC405" s="138"/>
      <c r="BD405" s="138"/>
      <c r="BE405" s="138"/>
      <c r="BF405" s="138"/>
      <c r="BG405" s="138"/>
      <c r="BH405" s="138"/>
      <c r="BI405" s="138"/>
    </row>
    <row r="406" spans="1:61" ht="15" customHeight="1">
      <c r="A406" s="138"/>
      <c r="B406" s="295"/>
      <c r="C406" s="284" t="str">
        <f>IF(Tool!$H$7="Français",G406,IF(Tool!$H$7="Italiano",I406,E406))</f>
        <v>Der «Klima-Check» ermöglicht eine thematische Annäherung an die Bedeutung der künftigen Klimaszenarien. Er liefert zudem konzeptionelle Denkanstösse in der frühen Projektierungsphase zur Optimierung des Gebäudeverhaltens über deren gesamten Lebenszyklus.</v>
      </c>
      <c r="D406" s="300"/>
      <c r="E406" s="1655" t="s">
        <v>575</v>
      </c>
      <c r="F406" s="1591"/>
      <c r="G406" s="972" t="s">
        <v>568</v>
      </c>
      <c r="H406" s="300"/>
      <c r="I406" s="319" t="s">
        <v>1888</v>
      </c>
      <c r="J406" s="316"/>
      <c r="K406" s="138"/>
      <c r="L406" s="138"/>
      <c r="M406" s="138"/>
      <c r="N406" s="138"/>
      <c r="O406" s="138"/>
      <c r="P406" s="138"/>
      <c r="Q406" s="138"/>
      <c r="R406" s="138"/>
      <c r="S406" s="138"/>
      <c r="T406" s="138"/>
      <c r="U406" s="138"/>
      <c r="V406" s="138"/>
      <c r="W406" s="138"/>
      <c r="X406" s="138"/>
      <c r="Y406" s="138"/>
      <c r="Z406" s="138"/>
      <c r="AA406" s="138"/>
      <c r="AB406" s="138"/>
      <c r="AC406" s="138"/>
      <c r="AD406" s="138"/>
      <c r="AE406" s="138"/>
      <c r="AF406" s="138"/>
      <c r="AG406" s="138"/>
      <c r="AH406" s="138"/>
      <c r="AI406" s="138"/>
      <c r="AJ406" s="313"/>
      <c r="AK406" s="313"/>
      <c r="AL406" s="313"/>
      <c r="AM406" s="313"/>
      <c r="AN406" s="313"/>
      <c r="AO406" s="354"/>
      <c r="AP406" s="354"/>
      <c r="AQ406" s="354"/>
      <c r="AR406" s="354"/>
      <c r="AS406" s="354"/>
      <c r="AT406" s="354"/>
      <c r="AU406" s="354"/>
      <c r="AV406" s="353"/>
      <c r="AW406" s="353"/>
      <c r="AX406" s="138"/>
      <c r="AY406" s="138"/>
      <c r="BB406" s="138"/>
      <c r="BC406" s="138"/>
      <c r="BD406" s="138"/>
      <c r="BE406" s="138"/>
      <c r="BF406" s="138"/>
      <c r="BG406" s="138"/>
      <c r="BH406" s="138"/>
      <c r="BI406" s="138"/>
    </row>
    <row r="407" spans="1:61" ht="15" customHeight="1">
      <c r="A407" s="138"/>
      <c r="B407" s="295"/>
      <c r="C407" s="284">
        <f>IF(Tool!$H$7="Français",G407,IF(Tool!$H$7="Italiano",I407,E407))</f>
        <v>0</v>
      </c>
      <c r="D407" s="300"/>
      <c r="E407" s="972"/>
      <c r="F407" s="1591"/>
      <c r="G407" s="972"/>
      <c r="H407" s="300"/>
      <c r="I407" s="319"/>
      <c r="J407" s="316"/>
      <c r="K407" s="1000" t="s">
        <v>448</v>
      </c>
      <c r="L407" s="905"/>
      <c r="M407" s="905"/>
      <c r="N407" s="905"/>
      <c r="O407" s="905"/>
      <c r="P407" s="906"/>
      <c r="Q407" s="138"/>
      <c r="R407" s="138"/>
      <c r="S407" s="138"/>
      <c r="T407" s="138"/>
      <c r="U407" s="138"/>
      <c r="V407" s="138"/>
      <c r="W407" s="138"/>
      <c r="X407" s="138"/>
      <c r="Y407" s="138"/>
      <c r="Z407" s="138"/>
      <c r="AA407" s="138"/>
      <c r="AB407" s="138"/>
      <c r="AC407" s="138"/>
      <c r="AD407" s="138"/>
      <c r="AE407" s="138"/>
      <c r="AF407" s="138"/>
      <c r="AG407" s="138"/>
      <c r="AH407" s="138"/>
      <c r="AI407" s="138"/>
      <c r="AJ407" s="313"/>
      <c r="AK407" s="313"/>
      <c r="AL407" s="313"/>
      <c r="AM407" s="313"/>
      <c r="AN407" s="313"/>
      <c r="AO407" s="354"/>
      <c r="AP407" s="354"/>
      <c r="AQ407" s="354"/>
      <c r="AR407" s="354"/>
      <c r="AS407" s="354"/>
      <c r="AT407" s="354"/>
      <c r="AU407" s="354"/>
      <c r="AV407" s="355"/>
      <c r="AW407" s="355"/>
      <c r="AX407" s="138"/>
      <c r="AY407" s="138"/>
      <c r="BB407" s="138"/>
      <c r="BC407" s="138"/>
      <c r="BD407" s="138"/>
      <c r="BE407" s="138"/>
      <c r="BF407" s="138"/>
      <c r="BG407" s="138"/>
      <c r="BH407" s="138"/>
      <c r="BI407" s="138"/>
    </row>
    <row r="408" spans="1:61" ht="15" customHeight="1">
      <c r="A408" s="138"/>
      <c r="B408" s="295"/>
      <c r="C408" s="284" t="str">
        <f>IF(Tool!$H$7="Français",G408,IF(Tool!$H$7="Italiano",I408,E408))</f>
        <v xml:space="preserve">Die unten stehende Tafel liefert eine Übersicht zur Struktur des ''Klima-Check SNBS 2023.1 Hochbau'': </v>
      </c>
      <c r="D408" s="300"/>
      <c r="E408" s="972" t="s">
        <v>585</v>
      </c>
      <c r="F408" s="1591"/>
      <c r="G408" s="972" t="s">
        <v>586</v>
      </c>
      <c r="H408" s="300"/>
      <c r="I408" s="319" t="s">
        <v>1157</v>
      </c>
      <c r="J408" s="316"/>
      <c r="K408" s="596" t="s">
        <v>225</v>
      </c>
      <c r="L408" s="597" t="s">
        <v>226</v>
      </c>
      <c r="M408" s="440"/>
      <c r="N408" s="445"/>
      <c r="O408" s="445"/>
      <c r="P408" s="441"/>
      <c r="Q408" s="138"/>
      <c r="R408" s="138"/>
      <c r="S408" s="138"/>
      <c r="T408" s="138"/>
      <c r="U408" s="138"/>
      <c r="V408" s="138"/>
      <c r="W408" s="138"/>
      <c r="X408" s="138"/>
      <c r="Y408" s="138"/>
      <c r="Z408" s="138"/>
      <c r="AA408" s="138"/>
      <c r="AB408" s="138"/>
      <c r="AC408" s="138"/>
      <c r="AD408" s="138"/>
      <c r="AE408" s="138"/>
      <c r="AF408" s="138"/>
      <c r="AG408" s="138"/>
      <c r="AH408" s="138"/>
      <c r="AI408" s="138"/>
      <c r="AJ408" s="349"/>
      <c r="AK408" s="349"/>
      <c r="AL408" s="349"/>
      <c r="AM408" s="349"/>
      <c r="AN408" s="349"/>
      <c r="AO408" s="350"/>
      <c r="AP408" s="350"/>
      <c r="AQ408" s="350"/>
      <c r="AR408" s="350"/>
      <c r="AS408" s="350"/>
      <c r="AT408" s="350"/>
      <c r="AU408" s="350"/>
      <c r="AV408" s="355"/>
      <c r="AW408" s="355"/>
      <c r="AX408" s="138"/>
      <c r="AY408" s="138"/>
      <c r="BB408" s="138"/>
      <c r="BC408" s="138"/>
      <c r="BD408" s="138"/>
      <c r="BE408" s="138"/>
      <c r="BF408" s="138"/>
      <c r="BG408" s="138"/>
      <c r="BH408" s="138"/>
      <c r="BI408" s="138"/>
    </row>
    <row r="409" spans="1:61" ht="15" customHeight="1">
      <c r="A409" s="138"/>
      <c r="B409" s="295"/>
      <c r="C409" s="284" t="str">
        <f>IF(Tool!$H$7="Français",G409,IF(Tool!$H$7="Italiano",I409,E409))</f>
        <v>* Link im Register Info.</v>
      </c>
      <c r="D409" s="300"/>
      <c r="E409" s="972" t="s">
        <v>1153</v>
      </c>
      <c r="F409" s="1591"/>
      <c r="G409" s="972" t="s">
        <v>538</v>
      </c>
      <c r="H409" s="300"/>
      <c r="I409" s="296" t="s">
        <v>1156</v>
      </c>
      <c r="J409" s="316"/>
      <c r="K409" s="596">
        <v>0.9</v>
      </c>
      <c r="L409" s="597">
        <v>0.66</v>
      </c>
      <c r="M409" s="442"/>
      <c r="N409" s="1"/>
      <c r="O409" s="1"/>
      <c r="P409" s="38"/>
      <c r="Q409" s="138"/>
      <c r="R409" s="138"/>
      <c r="S409" s="138"/>
      <c r="T409" s="138"/>
      <c r="U409" s="138"/>
      <c r="V409" s="138"/>
      <c r="W409" s="138"/>
      <c r="X409" s="138"/>
      <c r="Y409" s="138"/>
      <c r="Z409" s="138"/>
      <c r="AA409" s="138"/>
      <c r="AB409" s="138"/>
      <c r="AC409" s="138"/>
      <c r="AD409" s="138"/>
      <c r="AE409" s="138"/>
      <c r="AF409" s="138"/>
      <c r="AG409" s="138"/>
      <c r="AH409" s="138"/>
      <c r="AI409" s="138"/>
      <c r="AJ409" s="322"/>
      <c r="AK409" s="322"/>
      <c r="AL409" s="322"/>
      <c r="AM409" s="322"/>
      <c r="AN409" s="322"/>
      <c r="AO409" s="143"/>
      <c r="AP409" s="143"/>
      <c r="AQ409" s="143"/>
      <c r="AR409" s="143"/>
      <c r="AS409" s="143"/>
      <c r="AT409" s="143"/>
      <c r="AU409" s="143"/>
      <c r="AV409" s="355"/>
      <c r="AW409" s="355"/>
      <c r="AX409" s="313"/>
      <c r="AY409" s="138"/>
      <c r="BB409" s="138"/>
      <c r="BC409" s="138"/>
      <c r="BD409" s="138"/>
      <c r="BE409" s="138"/>
      <c r="BF409" s="138"/>
      <c r="BG409" s="138"/>
      <c r="BH409" s="138"/>
      <c r="BI409" s="138"/>
    </row>
    <row r="410" spans="1:61" ht="15" customHeight="1">
      <c r="A410" s="138"/>
      <c r="B410" s="307" t="s">
        <v>418</v>
      </c>
      <c r="C410" s="869" t="str">
        <f>IF(Tool!$H$7="Français",G410,IF(Tool!$H$7="Italiano",I410,E410))</f>
        <v>Struktur des Klima-Checks</v>
      </c>
      <c r="D410" s="306" t="s">
        <v>418</v>
      </c>
      <c r="E410" s="1622" t="s">
        <v>576</v>
      </c>
      <c r="F410" s="1653" t="s">
        <v>418</v>
      </c>
      <c r="G410" s="1622" t="s">
        <v>1158</v>
      </c>
      <c r="H410" s="306"/>
      <c r="I410" s="294" t="s">
        <v>1162</v>
      </c>
      <c r="J410" s="316"/>
      <c r="K410" s="594">
        <f>IF(K409&lt;=0.5,K409,IF(K409&gt;0.5,0.5))</f>
        <v>0.5</v>
      </c>
      <c r="L410" s="598">
        <f>IF(L409&lt;=0.5,L409,IF(L409&gt;0.5,0.5))</f>
        <v>0.5</v>
      </c>
      <c r="M410" s="442"/>
      <c r="N410" s="1"/>
      <c r="O410" s="1"/>
      <c r="P410" s="38"/>
      <c r="Q410" s="138"/>
      <c r="R410" s="138"/>
      <c r="S410" s="138"/>
      <c r="T410" s="138"/>
      <c r="U410" s="138"/>
      <c r="V410" s="138"/>
      <c r="W410" s="138"/>
      <c r="X410" s="138"/>
      <c r="Y410" s="138"/>
      <c r="Z410" s="138"/>
      <c r="AA410" s="138"/>
      <c r="AB410" s="138"/>
      <c r="AC410" s="138"/>
      <c r="AD410" s="138"/>
      <c r="AE410" s="138"/>
      <c r="AF410" s="138"/>
      <c r="AG410" s="138"/>
      <c r="AH410" s="138"/>
      <c r="AI410" s="138"/>
      <c r="AJ410" s="322"/>
      <c r="AK410" s="322"/>
      <c r="AL410" s="322"/>
      <c r="AM410" s="322"/>
      <c r="AN410" s="322"/>
      <c r="AO410" s="143"/>
      <c r="AP410" s="143"/>
      <c r="AQ410" s="143"/>
      <c r="AR410" s="143"/>
      <c r="AS410" s="143"/>
      <c r="AT410" s="143"/>
      <c r="AU410" s="143"/>
      <c r="AV410" s="355"/>
      <c r="AW410" s="355"/>
      <c r="AX410" s="311"/>
      <c r="AY410" s="138"/>
      <c r="BB410" s="138"/>
      <c r="BC410" s="138"/>
      <c r="BD410" s="138"/>
      <c r="BE410" s="138"/>
      <c r="BF410" s="138"/>
      <c r="BG410" s="138"/>
      <c r="BH410" s="138"/>
      <c r="BI410" s="138"/>
    </row>
    <row r="411" spans="1:61" ht="15" customHeight="1">
      <c r="A411" s="138"/>
      <c r="B411" s="295"/>
      <c r="C411" s="284" t="str">
        <f>IF(Tool!$H$7="Français",G411,IF(Tool!$H$7="Italiano",I411,E411))</f>
        <v xml:space="preserve">Die Struktur des ''Klima-Checks'' basiert auf den SNBS-Kriterien. Einige dieser Kriterien werden als Transversalthemen zu Klimaschutz und Klimaanpassung unverändert übernommen. Zusätzlich werden neue klimarelevante Fragen gestellt. Kriterien, deren Ziele nicht direkt mit dem Klimawandel in Verbindung stehen, werden in der Auswertung des Klima-Check nicht berücksichtigt. 
Insgesamt werden im ''Klima-Check'' 36 klimarelevante Kriterien aus 10 Themen bewertet:  </v>
      </c>
      <c r="D411" s="300"/>
      <c r="E411" s="972" t="s">
        <v>1636</v>
      </c>
      <c r="F411" s="1591"/>
      <c r="G411" s="972" t="s">
        <v>1977</v>
      </c>
      <c r="H411" s="300"/>
      <c r="I411" s="296" t="s">
        <v>1889</v>
      </c>
      <c r="J411" s="316"/>
      <c r="K411" s="584">
        <f>IF(K409&lt;=0.5,0,IF(AND(K409&lt;=0.65,K409&gt;0.5),K409-0.5,IF(K409&gt;0.65,0.15)))</f>
        <v>0.15</v>
      </c>
      <c r="L411" s="599">
        <f>IF(L409&lt;=0.5,0,IF(AND(L409&lt;=0.65,L409&gt;0.5),L409-0.5,IF(L409&gt;0.65,0.15)))</f>
        <v>0.15</v>
      </c>
      <c r="M411" s="442"/>
      <c r="N411" s="1"/>
      <c r="O411" s="1"/>
      <c r="P411" s="38"/>
      <c r="Q411" s="138"/>
      <c r="R411" s="138"/>
      <c r="S411" s="138"/>
      <c r="T411" s="138"/>
      <c r="U411" s="138"/>
      <c r="V411" s="138"/>
      <c r="W411" s="138"/>
      <c r="X411" s="138"/>
      <c r="Y411" s="138"/>
      <c r="Z411" s="138"/>
      <c r="AA411" s="138"/>
      <c r="AB411" s="138"/>
      <c r="AC411" s="138"/>
      <c r="AD411" s="138"/>
      <c r="AE411" s="138"/>
      <c r="AF411" s="138"/>
      <c r="AG411" s="138"/>
      <c r="AH411" s="138"/>
      <c r="AI411" s="138"/>
      <c r="AJ411" s="322"/>
      <c r="AK411" s="322"/>
      <c r="AL411" s="322"/>
      <c r="AM411" s="322"/>
      <c r="AN411" s="322"/>
      <c r="AO411" s="143"/>
      <c r="AP411" s="143"/>
      <c r="AQ411" s="143"/>
      <c r="AR411" s="143"/>
      <c r="AS411" s="143"/>
      <c r="AT411" s="143"/>
      <c r="AU411" s="143"/>
      <c r="AV411" s="355"/>
      <c r="AW411" s="355"/>
      <c r="AX411" s="138"/>
      <c r="AY411" s="138"/>
      <c r="BB411" s="138"/>
      <c r="BC411" s="138"/>
      <c r="BD411" s="138"/>
      <c r="BE411" s="138"/>
      <c r="BF411" s="138"/>
      <c r="BG411" s="138"/>
      <c r="BH411" s="138"/>
      <c r="BI411" s="138"/>
    </row>
    <row r="412" spans="1:61" ht="15" customHeight="1">
      <c r="A412" s="138"/>
      <c r="B412" s="295"/>
      <c r="C412" s="284" t="str">
        <f>IF(Tool!$H$7="Français",G412,IF(Tool!$H$7="Italiano",I412,E412))</f>
        <v>Die Kriterien des ''Klima-Checks'' werden mit in der Grafik oben auf dem Blatt ''Check'' sowie auf dem Blatt ''Results'' angezeigt.</v>
      </c>
      <c r="D412" s="300"/>
      <c r="E412" s="972" t="s">
        <v>1627</v>
      </c>
      <c r="F412" s="1591"/>
      <c r="G412" s="972" t="s">
        <v>1628</v>
      </c>
      <c r="H412" s="300"/>
      <c r="I412" s="296" t="s">
        <v>1629</v>
      </c>
      <c r="J412" s="316"/>
      <c r="K412" s="584">
        <f>IF(K409&lt;=0.65,0,IF(AND(K409&lt;=0.85,K409&gt;0.65),K409-0.65,IF(K409&gt;0.85,0.2)))</f>
        <v>0.2</v>
      </c>
      <c r="L412" s="599">
        <f>IF(L409&lt;=0.65,0,IF(AND(L409&lt;=0.85,L409&gt;0.65),L409-0.65,IF(L409&gt;0.85,0.2)))</f>
        <v>1.0000000000000009E-2</v>
      </c>
      <c r="M412" s="442"/>
      <c r="N412" s="1"/>
      <c r="O412" s="1"/>
      <c r="P412" s="38"/>
      <c r="Q412" s="138"/>
      <c r="R412" s="138"/>
      <c r="S412" s="138"/>
      <c r="T412" s="138"/>
      <c r="U412" s="138"/>
      <c r="V412" s="138"/>
      <c r="W412" s="138"/>
      <c r="X412" s="138"/>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313"/>
      <c r="AW412" s="138"/>
      <c r="AX412" s="138"/>
      <c r="AY412" s="138"/>
      <c r="BB412" s="138"/>
      <c r="BC412" s="138"/>
      <c r="BD412" s="138"/>
      <c r="BE412" s="138"/>
      <c r="BF412" s="138"/>
      <c r="BG412" s="138"/>
      <c r="BH412" s="138"/>
      <c r="BI412" s="138"/>
    </row>
    <row r="413" spans="1:61" ht="15" customHeight="1">
      <c r="A413" s="138"/>
      <c r="B413" s="307" t="s">
        <v>419</v>
      </c>
      <c r="C413" s="869" t="str">
        <f>IF(Tool!$H$7="Français",G413,IF(Tool!$H$7="Italiano",I413,E413))</f>
        <v>Fragenkatalog Klima-Check</v>
      </c>
      <c r="D413" s="306" t="s">
        <v>419</v>
      </c>
      <c r="E413" s="1622" t="s">
        <v>577</v>
      </c>
      <c r="F413" s="1653" t="s">
        <v>419</v>
      </c>
      <c r="G413" s="1622" t="s">
        <v>1159</v>
      </c>
      <c r="H413" s="306"/>
      <c r="I413" s="294" t="s">
        <v>1163</v>
      </c>
      <c r="J413" s="316"/>
      <c r="K413" s="600">
        <f>IF(K409&lt;=0.85,0,IF(AND(K409&lt;=1,K409&gt;0.85),K409-0.85,IF(K409&gt;1,0.15)))</f>
        <v>5.0000000000000044E-2</v>
      </c>
      <c r="L413" s="601">
        <f>IF(L409&lt;=0.85,0,IF(AND(L409&lt;=1,L409&gt;0.85),L409-0.85,IF(L409&gt;1,0.15)))</f>
        <v>0</v>
      </c>
      <c r="M413" s="442"/>
      <c r="N413" s="1"/>
      <c r="O413" s="1"/>
      <c r="P413" s="38"/>
      <c r="Q413" s="138"/>
      <c r="R413" s="138"/>
      <c r="S413" s="138"/>
      <c r="T413" s="138"/>
      <c r="U413" s="138"/>
      <c r="V413" s="138"/>
      <c r="W413" s="138"/>
      <c r="X413" s="138"/>
      <c r="Y413" s="138"/>
      <c r="Z413" s="138"/>
      <c r="AA413" s="138"/>
      <c r="AB413" s="138"/>
      <c r="AC413" s="138"/>
      <c r="AD413" s="138"/>
      <c r="AE413" s="138"/>
      <c r="AF413" s="138"/>
      <c r="AG413" s="138"/>
      <c r="AH413" s="138"/>
      <c r="AI413" s="138"/>
      <c r="AJ413" s="138"/>
      <c r="AK413" s="138"/>
      <c r="AL413" s="138"/>
      <c r="AM413" s="138"/>
      <c r="AN413" s="138"/>
      <c r="AO413" s="138"/>
      <c r="AP413" s="138"/>
      <c r="AQ413" s="138"/>
      <c r="AR413" s="138"/>
      <c r="AS413" s="138"/>
      <c r="AT413" s="138"/>
      <c r="AU413" s="138"/>
      <c r="AV413" s="313"/>
      <c r="AW413" s="138"/>
      <c r="AX413" s="138"/>
      <c r="AY413" s="138"/>
      <c r="BB413" s="138"/>
      <c r="BC413" s="138"/>
      <c r="BD413" s="138"/>
      <c r="BE413" s="138"/>
      <c r="BF413" s="138"/>
      <c r="BG413" s="138"/>
      <c r="BH413" s="138"/>
      <c r="BI413" s="138"/>
    </row>
    <row r="414" spans="1:61" ht="15" customHeight="1">
      <c r="A414" s="138"/>
      <c r="B414" s="295"/>
      <c r="C414" s="284" t="str">
        <f>IF(Tool!$H$7="Français",G414,IF(Tool!$H$7="Italiano",I414,E414))</f>
        <v>Der Reduktionsmethode und die Bewertung der Fragen funktionieren beim ''Pre-Check'' und beim ''Klima-Check'' auf ähnliche Weise. Die Fragen, die beim Fragebogen gestellt werden, hängen von der Auswahl des Tools ab, das Sie auf der Startseite "Tool" ausgewählt haben. Sie können das Tool jederzeit über die dafür vorgesehene Schaltfläche im Menü oben auf der Seite wechseln.</v>
      </c>
      <c r="D414" s="300"/>
      <c r="E414" s="972" t="s">
        <v>578</v>
      </c>
      <c r="F414" s="1591"/>
      <c r="G414" s="972" t="s">
        <v>1170</v>
      </c>
      <c r="H414" s="300"/>
      <c r="I414" s="296" t="s">
        <v>1891</v>
      </c>
      <c r="J414" s="316"/>
      <c r="K414" s="594">
        <f>IF(K409=1,0,
IF(K409&gt;0.85,0.15-K413,
IF(K409&gt;0.65,0.2-K412,
IF(K409&gt;0.5,0.15-K411,
0.5-K410))))</f>
        <v>9.999999999999995E-2</v>
      </c>
      <c r="L414" s="598">
        <f>IF(L409=1,0,
IF(L409&gt;0.85,0.15-L413,
IF(L409&gt;0.65,0.2-L412,
IF(L409&gt;0.5,0.15-L411,
0.5-L410))))</f>
        <v>0.19</v>
      </c>
      <c r="M414" s="442"/>
      <c r="N414" s="1"/>
      <c r="O414" s="1"/>
      <c r="P414" s="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313"/>
      <c r="AW414" s="138"/>
      <c r="AX414" s="138"/>
      <c r="AY414" s="138"/>
      <c r="BB414" s="138"/>
      <c r="BC414" s="138"/>
      <c r="BD414" s="313"/>
      <c r="BE414" s="138"/>
      <c r="BF414" s="138"/>
      <c r="BG414" s="138"/>
      <c r="BH414" s="138"/>
      <c r="BI414" s="138"/>
    </row>
    <row r="415" spans="1:61" ht="15" customHeight="1">
      <c r="A415" s="138"/>
      <c r="B415" s="295"/>
      <c r="C415" s="284" t="str">
        <f>IF(Tool!$H$7="Français",G415,IF(Tool!$H$7="Italiano",I415,E415))</f>
        <v>Dieser Teil der Einleitung hilft Ihnen die Funktionsweise des Fragebogens beim ausgewählten Tool zu verstehen.</v>
      </c>
      <c r="D415" s="300"/>
      <c r="E415" s="972" t="s">
        <v>467</v>
      </c>
      <c r="F415" s="1591"/>
      <c r="G415" s="972" t="s">
        <v>474</v>
      </c>
      <c r="H415" s="300"/>
      <c r="I415" s="296" t="s">
        <v>1166</v>
      </c>
      <c r="J415" s="316"/>
      <c r="K415" s="584">
        <f>IF(K409&lt;=0.5,0.15,0)</f>
        <v>0</v>
      </c>
      <c r="L415" s="599">
        <f>IF(L409&lt;=0.5,0.15,0)</f>
        <v>0</v>
      </c>
      <c r="M415" s="442"/>
      <c r="N415" s="1"/>
      <c r="O415" s="1"/>
      <c r="P415" s="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313"/>
      <c r="AW415" s="138"/>
      <c r="AX415" s="138"/>
      <c r="AY415" s="138"/>
      <c r="BB415" s="138"/>
      <c r="BC415" s="138"/>
      <c r="BD415" s="311"/>
      <c r="BE415" s="138"/>
      <c r="BF415" s="138"/>
      <c r="BG415" s="138"/>
      <c r="BH415" s="138"/>
      <c r="BI415" s="138"/>
    </row>
    <row r="416" spans="1:61" ht="15" customHeight="1">
      <c r="A416" s="138"/>
      <c r="B416" s="295"/>
      <c r="C416" s="284" t="str">
        <f>IF(Tool!$H$7="Français",G416,IF(Tool!$H$7="Italiano",I416,E416))</f>
        <v>Wählen Sie bitte diese Antwort aus.</v>
      </c>
      <c r="D416" s="300"/>
      <c r="E416" s="972" t="s">
        <v>468</v>
      </c>
      <c r="F416" s="1591"/>
      <c r="G416" s="972" t="s">
        <v>451</v>
      </c>
      <c r="H416" s="300"/>
      <c r="I416" s="296" t="s">
        <v>1167</v>
      </c>
      <c r="J416" s="316"/>
      <c r="K416" s="584">
        <f>IF(K409&lt;=0.65,0.2,0)</f>
        <v>0</v>
      </c>
      <c r="L416" s="599">
        <f>IF(L409&lt;=0.65,0.2,0)</f>
        <v>0</v>
      </c>
      <c r="M416" s="442"/>
      <c r="N416" s="1"/>
      <c r="O416" s="1"/>
      <c r="P416" s="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355"/>
      <c r="AQ416" s="355"/>
      <c r="AR416" s="313"/>
      <c r="AS416" s="313"/>
      <c r="AT416" s="313"/>
      <c r="AU416" s="313"/>
      <c r="AV416" s="313"/>
      <c r="AW416" s="138"/>
      <c r="AX416" s="138"/>
      <c r="AY416" s="138"/>
      <c r="BB416" s="138"/>
      <c r="BC416" s="138"/>
      <c r="BD416" s="138"/>
      <c r="BE416" s="138"/>
      <c r="BF416" s="138"/>
      <c r="BG416" s="138"/>
      <c r="BH416" s="138"/>
      <c r="BI416" s="138"/>
    </row>
    <row r="417" spans="1:61" ht="15" customHeight="1">
      <c r="A417" s="138"/>
      <c r="B417" s="295"/>
      <c r="C417" s="284" t="str">
        <f>IF(Tool!$H$7="Français",G417,IF(Tool!$H$7="Italiano",I417,E417))</f>
        <v>Lesen Sie bitte die Informationen</v>
      </c>
      <c r="D417" s="300"/>
      <c r="E417" s="972" t="s">
        <v>469</v>
      </c>
      <c r="F417" s="1591"/>
      <c r="G417" s="972" t="s">
        <v>453</v>
      </c>
      <c r="H417" s="300"/>
      <c r="I417" s="296" t="s">
        <v>1168</v>
      </c>
      <c r="J417" s="316"/>
      <c r="K417" s="600">
        <f>IF(K409&lt;=0.85,0.15,0)</f>
        <v>0</v>
      </c>
      <c r="L417" s="601">
        <f>IF(L409&lt;=0.85,0.15,0)</f>
        <v>0.15</v>
      </c>
      <c r="M417" s="443"/>
      <c r="N417" s="447"/>
      <c r="O417" s="447"/>
      <c r="P417" s="444"/>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355"/>
      <c r="AQ417" s="355"/>
      <c r="AR417" s="313"/>
      <c r="AS417" s="313"/>
      <c r="AT417" s="313"/>
      <c r="AU417" s="313"/>
      <c r="AV417" s="313"/>
      <c r="AW417" s="138"/>
      <c r="AX417" s="138"/>
      <c r="AY417" s="138"/>
      <c r="BB417" s="138"/>
      <c r="BC417" s="138"/>
      <c r="BD417" s="138"/>
      <c r="BE417" s="138"/>
      <c r="BF417" s="138"/>
      <c r="BG417" s="138"/>
      <c r="BH417" s="138"/>
      <c r="BI417" s="138"/>
    </row>
    <row r="418" spans="1:61" ht="15" customHeight="1">
      <c r="A418" s="138"/>
      <c r="B418" s="295"/>
      <c r="C418" s="284" t="str">
        <f>IF(Tool!$H$7="Français",G418,IF(Tool!$H$7="Italiano",I418,E418))</f>
        <v>und wählen Sie dann die Antwort aus.</v>
      </c>
      <c r="D418" s="300"/>
      <c r="E418" s="972" t="s">
        <v>1164</v>
      </c>
      <c r="F418" s="1591"/>
      <c r="G418" s="972" t="s">
        <v>452</v>
      </c>
      <c r="H418" s="300"/>
      <c r="I418" s="296" t="s">
        <v>1169</v>
      </c>
      <c r="J418" s="316"/>
      <c r="K418" s="622">
        <v>0.73</v>
      </c>
      <c r="L418" s="440"/>
      <c r="M418" s="445"/>
      <c r="N418" s="445"/>
      <c r="O418" s="445"/>
      <c r="P418" s="441"/>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355"/>
      <c r="AQ418" s="355"/>
      <c r="AR418" s="313"/>
      <c r="AS418" s="313"/>
      <c r="AT418" s="313"/>
      <c r="AU418" s="313"/>
      <c r="AV418" s="313"/>
      <c r="AW418" s="138"/>
      <c r="AX418" s="138"/>
      <c r="AY418" s="138"/>
      <c r="BB418" s="138"/>
      <c r="BC418" s="138"/>
      <c r="BD418" s="138"/>
      <c r="BE418" s="138"/>
      <c r="BF418" s="138"/>
      <c r="BG418" s="138"/>
      <c r="BH418" s="138"/>
      <c r="BI418" s="138"/>
    </row>
    <row r="419" spans="1:61" ht="15" customHeight="1">
      <c r="A419" s="138"/>
      <c r="B419" s="295"/>
      <c r="C419" s="284" t="str">
        <f>IF(Tool!$H$7="Français",G419,IF(Tool!$H$7="Italiano",I419,E419))</f>
        <v>Die zusätzlichen ''Klima-Check'' Fragen sind gemäss den zugehörigen Kriterien nummeriert und mit einem ''K'' versehen.</v>
      </c>
      <c r="D419" s="300"/>
      <c r="E419" s="972" t="s">
        <v>1165</v>
      </c>
      <c r="F419" s="1591"/>
      <c r="G419" s="972" t="s">
        <v>1978</v>
      </c>
      <c r="H419" s="300"/>
      <c r="I419" s="296" t="s">
        <v>1663</v>
      </c>
      <c r="J419" s="316"/>
      <c r="K419" s="598">
        <f>IF(K418&lt;=0.5,K418,IF(K418&gt;0.5,0.5))</f>
        <v>0.5</v>
      </c>
      <c r="L419" s="442"/>
      <c r="M419" s="1"/>
      <c r="N419" s="1"/>
      <c r="O419" s="1"/>
      <c r="P419" s="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355"/>
      <c r="AQ419" s="355"/>
      <c r="AR419" s="313"/>
      <c r="AS419" s="313"/>
      <c r="AT419" s="313"/>
      <c r="AU419" s="313"/>
      <c r="AV419" s="313"/>
      <c r="AW419" s="138"/>
      <c r="AX419" s="138"/>
      <c r="AY419" s="138"/>
      <c r="BB419" s="138"/>
      <c r="BC419" s="138"/>
      <c r="BD419" s="138"/>
      <c r="BE419" s="138"/>
      <c r="BF419" s="138"/>
      <c r="BG419" s="138"/>
      <c r="BH419" s="138"/>
      <c r="BI419" s="138"/>
    </row>
    <row r="420" spans="1:61" ht="15" customHeight="1">
      <c r="A420" s="138"/>
      <c r="B420" s="295"/>
      <c r="C420" s="284" t="str">
        <f>IF(Tool!$H$7="Français",G420,IF(Tool!$H$7="Italiano",I420,E420))</f>
        <v>Es ist auch möglich nur den ''Klima-Check'' durchzuführen.</v>
      </c>
      <c r="D420" s="300"/>
      <c r="E420" s="972" t="s">
        <v>579</v>
      </c>
      <c r="F420" s="1591"/>
      <c r="G420" s="972" t="s">
        <v>420</v>
      </c>
      <c r="H420" s="300"/>
      <c r="I420" s="296" t="s">
        <v>1171</v>
      </c>
      <c r="J420" s="290"/>
      <c r="K420" s="599">
        <f>IF(K418&lt;=0.5,0,IF(AND(K418&lt;=0.65,K418&gt;0.5),K418-0.5,IF(K418&gt;0.65,0.15)))</f>
        <v>0.15</v>
      </c>
      <c r="L420" s="442"/>
      <c r="M420" s="1"/>
      <c r="N420" s="1"/>
      <c r="O420" s="1"/>
      <c r="P420" s="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355"/>
      <c r="AQ420" s="355"/>
      <c r="AR420" s="313"/>
      <c r="AS420" s="313"/>
      <c r="AT420" s="313"/>
      <c r="AU420" s="313"/>
      <c r="AV420" s="313"/>
      <c r="AW420" s="138"/>
      <c r="AX420" s="138"/>
      <c r="AY420" s="138"/>
      <c r="BB420" s="138"/>
      <c r="BC420" s="138"/>
      <c r="BD420" s="138"/>
      <c r="BE420" s="138"/>
      <c r="BF420" s="138"/>
      <c r="BG420" s="138"/>
      <c r="BH420" s="138"/>
      <c r="BI420" s="138"/>
    </row>
    <row r="421" spans="1:61" ht="15" customHeight="1">
      <c r="A421" s="138"/>
      <c r="B421" s="333"/>
      <c r="C421" s="284" t="str">
        <f>IF(Tool!$H$7="Français",G421,IF(Tool!$H$7="Italiano",I421,E421))</f>
        <v>Das Kriterium 222 ''Nutzungsdichte'' hat keinen direkten Bezug zum ''Klima-Check''. Es wird daher aus der Bewertung nicht berücksichtigt.</v>
      </c>
      <c r="D421" s="300"/>
      <c r="E421" s="972" t="str">
        <f>"Das Kriterium "&amp;AQ42&amp;" ''"&amp;AR42&amp;"'' hat keinen direkten Bezug zum ''Klima-Check''. Es wird daher aus der Bewertung nicht berücksichtigt."</f>
        <v>Das Kriterium 222 ''Nutzungsdichte'' hat keinen direkten Bezug zum ''Klima-Check''. Es wird daher aus der Bewertung nicht berücksichtigt.</v>
      </c>
      <c r="F421" s="1591"/>
      <c r="G421" s="972" t="str">
        <f>"Le critère "&amp;AQ42&amp;" ''"&amp;AR42&amp;"''n'est pas directement lié au Check Climat. Il est donc retiré de l'évaluation."</f>
        <v>Le critère 222 ''Nutzungsdichte''n'est pas directement lié au Check Climat. Il est donc retiré de l'évaluation.</v>
      </c>
      <c r="H421" s="300"/>
      <c r="I421" s="296" t="str">
        <f>"Il criterio "&amp;AQ42&amp;" ''"&amp;AR42&amp;"''  non è direttamente collegato al ''Check Clima''. Pertanto non è stato incluso nella valutazione."</f>
        <v>Il criterio 222 ''Nutzungsdichte''  non è direttamente collegato al ''Check Clima''. Pertanto non è stato incluso nella valutazione.</v>
      </c>
      <c r="J421" s="315"/>
      <c r="K421" s="599">
        <f>IF(K418&lt;=0.65,0,IF(AND(K418&lt;=0.85,K418&gt;0.65),K418-0.65,IF(K418&gt;0.85,0.2)))</f>
        <v>7.999999999999996E-2</v>
      </c>
      <c r="L421" s="442"/>
      <c r="M421" s="1"/>
      <c r="N421" s="1"/>
      <c r="O421" s="1"/>
      <c r="P421" s="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355"/>
      <c r="AQ421" s="355"/>
      <c r="AR421" s="313"/>
      <c r="AS421" s="313"/>
      <c r="AT421" s="313"/>
      <c r="AU421" s="313"/>
      <c r="AV421" s="313"/>
      <c r="AW421" s="138"/>
      <c r="AX421" s="138"/>
      <c r="AY421" s="138"/>
      <c r="BB421" s="138"/>
      <c r="BC421" s="138"/>
      <c r="BD421" s="138"/>
      <c r="BE421" s="138"/>
      <c r="BF421" s="138"/>
      <c r="BG421" s="138"/>
      <c r="BH421" s="138"/>
      <c r="BI421" s="138"/>
    </row>
    <row r="422" spans="1:61" ht="15" customHeight="1">
      <c r="A422" s="138"/>
      <c r="B422" s="333"/>
      <c r="C422" s="284" t="str">
        <f>IF(Tool!$H$7="Français",G422,IF(Tool!$H$7="Italiano",I422,E422))</f>
        <v>Es wird deshalb neu eine Frage zum ''Klima-Check''-Kriterium 223 ''Nutzungsflexibilität &amp; -variabilität'' gestellt.</v>
      </c>
      <c r="D422" s="300"/>
      <c r="E422" s="972" t="str">
        <f>"Es wird deshalb neu eine Frage zum ''Klima-Check''-Kriterium "&amp;AQ43&amp;" ''"&amp;AR43&amp;"'' gestellt."</f>
        <v>Es wird deshalb neu eine Frage zum ''Klima-Check''-Kriterium 223 ''Nutzungsflexibilität &amp; -variabilität'' gestellt.</v>
      </c>
      <c r="F422" s="1591"/>
      <c r="G422" s="972" t="str">
        <f>"Une question est maintenant posée pour le critère ''Check Climat'' "&amp;AQ43&amp;" ''"&amp;AR43&amp;"''."</f>
        <v>Une question est maintenant posée pour le critère ''Check Climat'' 223 ''Nutzungsflexibilität &amp; -variabilität''.</v>
      </c>
      <c r="H422" s="300"/>
      <c r="I422" s="296" t="str">
        <f>"Viene quindi posta una nuova domanda sul criterio ''Check Clima'' "&amp;AQ43&amp;" ''"&amp;AR43&amp;"'' "</f>
      </c>
      <c r="J422" s="316"/>
      <c r="K422" s="601">
        <f>IF(K418&lt;=0.85,0,IF(AND(K418&lt;=1,K418&gt;0.85),K418-0.85,IF(K418&gt;1,0.15)))</f>
        <v>0</v>
      </c>
      <c r="L422" s="442"/>
      <c r="M422" s="1"/>
      <c r="N422" s="1"/>
      <c r="O422" s="1"/>
      <c r="P422" s="38"/>
      <c r="Q422" s="138"/>
      <c r="R422" s="138"/>
      <c r="S422" s="138"/>
      <c r="T422" s="138"/>
      <c r="U422" s="138"/>
      <c r="V422" s="138"/>
      <c r="W422" s="138"/>
      <c r="X422" s="138"/>
      <c r="Y422" s="138"/>
      <c r="Z422" s="138"/>
      <c r="AA422" s="138"/>
      <c r="AB422" s="138"/>
      <c r="AC422" s="138"/>
      <c r="AD422" s="138"/>
      <c r="AE422" s="138"/>
      <c r="AF422" s="138"/>
      <c r="AG422" s="138"/>
      <c r="AH422" s="138"/>
      <c r="AI422" s="138"/>
      <c r="AJ422" s="138"/>
      <c r="AK422" s="138"/>
      <c r="AL422" s="138"/>
      <c r="AM422" s="138"/>
      <c r="AN422" s="138"/>
      <c r="AO422" s="138"/>
      <c r="AP422" s="355"/>
      <c r="AQ422" s="355"/>
      <c r="AR422" s="313"/>
      <c r="AS422" s="313"/>
      <c r="AT422" s="313"/>
      <c r="AU422" s="313"/>
      <c r="AV422" s="313"/>
      <c r="AW422" s="138"/>
      <c r="AX422" s="138"/>
      <c r="AY422" s="138"/>
      <c r="BB422" s="138"/>
      <c r="BC422" s="138"/>
      <c r="BD422" s="138"/>
      <c r="BE422" s="138"/>
      <c r="BF422" s="138"/>
      <c r="BG422" s="138"/>
      <c r="BH422" s="138"/>
      <c r="BI422" s="138"/>
    </row>
    <row r="423" spans="1:61" ht="15" customHeight="1">
      <c r="A423" s="138"/>
      <c r="B423" s="334"/>
      <c r="C423" s="284" t="str">
        <f>IF(Tool!$H$7="Français",G423,IF(Tool!$H$7="Italiano",I423,E423))</f>
        <v>'Klima-Check''-Kriterien können ebenfalls Fragen zweiten Grades aufweisen.</v>
      </c>
      <c r="D423" s="301"/>
      <c r="E423" s="1656" t="s">
        <v>1172</v>
      </c>
      <c r="F423" s="1657"/>
      <c r="G423" s="1648" t="s">
        <v>569</v>
      </c>
      <c r="H423" s="301"/>
      <c r="I423" s="298" t="s">
        <v>1173</v>
      </c>
      <c r="J423" s="316"/>
      <c r="K423" s="598">
        <f>IF(K418=1,0,
IF(K418&gt;0.85,0.15-K422,
IF(K418&gt;0.65,0.2-K421,
IF(K418&gt;0.5,0.15-K420,
0.5-K419))))</f>
        <v>0.12000000000000005</v>
      </c>
      <c r="L423" s="442"/>
      <c r="M423" s="1"/>
      <c r="N423" s="1"/>
      <c r="O423" s="1"/>
      <c r="P423" s="38"/>
      <c r="Q423" s="138"/>
      <c r="R423" s="138"/>
      <c r="S423" s="138"/>
      <c r="T423" s="138"/>
      <c r="U423" s="138"/>
      <c r="V423" s="138"/>
      <c r="W423" s="138"/>
      <c r="X423" s="138"/>
      <c r="Y423" s="138"/>
      <c r="Z423" s="138"/>
      <c r="AA423" s="138"/>
      <c r="AB423" s="138"/>
      <c r="AC423" s="138"/>
      <c r="AD423" s="138"/>
      <c r="AE423" s="138"/>
      <c r="AF423" s="138"/>
      <c r="AG423" s="138"/>
      <c r="AH423" s="138"/>
      <c r="AI423" s="138"/>
      <c r="AJ423" s="138"/>
      <c r="AK423" s="138"/>
      <c r="AL423" s="138"/>
      <c r="AM423" s="138"/>
      <c r="AN423" s="138"/>
      <c r="AO423" s="138"/>
      <c r="AP423" s="355"/>
      <c r="AQ423" s="355"/>
      <c r="AR423" s="313"/>
      <c r="AS423" s="313"/>
      <c r="AT423" s="313"/>
      <c r="AU423" s="313"/>
      <c r="AV423" s="313"/>
      <c r="AW423" s="138"/>
      <c r="AX423" s="138"/>
      <c r="AY423" s="138"/>
      <c r="BB423" s="138"/>
      <c r="BC423" s="138"/>
      <c r="BD423" s="138"/>
      <c r="BE423" s="138"/>
      <c r="BF423" s="138"/>
      <c r="BG423" s="138"/>
      <c r="BH423" s="138"/>
      <c r="BI423" s="138"/>
    </row>
    <row r="424" spans="1:61" ht="15" customHeight="1">
      <c r="A424" s="138"/>
      <c r="B424" s="331" t="s">
        <v>421</v>
      </c>
      <c r="C424" s="869" t="str">
        <f>IF(Tool!$H$7="Français",G424,IF(Tool!$H$7="Italiano",I424,E424))</f>
        <v>Ergebnisdarstellung zum ''Klima-Check''</v>
      </c>
      <c r="D424" s="306" t="s">
        <v>421</v>
      </c>
      <c r="E424" s="1622" t="s">
        <v>580</v>
      </c>
      <c r="F424" s="1653" t="s">
        <v>421</v>
      </c>
      <c r="G424" s="1622" t="s">
        <v>570</v>
      </c>
      <c r="H424" s="306"/>
      <c r="I424" s="294" t="s">
        <v>1174</v>
      </c>
      <c r="J424" s="316"/>
      <c r="K424" s="599">
        <f>IF(K418&lt;=0.5,0.15,0)</f>
        <v>0</v>
      </c>
      <c r="L424" s="442"/>
      <c r="M424" s="1"/>
      <c r="N424" s="1"/>
      <c r="O424" s="1"/>
      <c r="P424" s="38"/>
      <c r="Q424" s="138"/>
      <c r="R424" s="138"/>
      <c r="S424" s="138"/>
      <c r="T424" s="138"/>
      <c r="U424" s="138"/>
      <c r="V424" s="138"/>
      <c r="W424" s="138"/>
      <c r="X424" s="138"/>
      <c r="Y424" s="138"/>
      <c r="Z424" s="138"/>
      <c r="AA424" s="138"/>
      <c r="AB424" s="138"/>
      <c r="AC424" s="138"/>
      <c r="AD424" s="138"/>
      <c r="AE424" s="138"/>
      <c r="AF424" s="138"/>
      <c r="AG424" s="138"/>
      <c r="AH424" s="138"/>
      <c r="AI424" s="138"/>
      <c r="AJ424" s="138"/>
      <c r="AK424" s="138"/>
      <c r="AL424" s="138"/>
      <c r="AM424" s="138"/>
      <c r="AN424" s="138"/>
      <c r="AO424" s="138"/>
      <c r="AP424" s="355"/>
      <c r="AQ424" s="355"/>
      <c r="AR424" s="313"/>
      <c r="AS424" s="313"/>
      <c r="AT424" s="313"/>
      <c r="AU424" s="313"/>
      <c r="AV424" s="313"/>
      <c r="AW424" s="138"/>
      <c r="AX424" s="138"/>
      <c r="AY424" s="138"/>
      <c r="BB424" s="138"/>
      <c r="BC424" s="138"/>
      <c r="BD424" s="138"/>
      <c r="BE424" s="138"/>
      <c r="BF424" s="138"/>
      <c r="BG424" s="138"/>
      <c r="BH424" s="138"/>
      <c r="BI424" s="138"/>
    </row>
    <row r="425" spans="1:61" ht="15" customHeight="1">
      <c r="A425" s="138"/>
      <c r="B425" s="333"/>
      <c r="C425" s="284" t="str">
        <f>IF(Tool!$H$7="Français",G425,IF(Tool!$H$7="Italiano",I425,E425))</f>
        <v>Die Ergebnisse zum ''Klima-Check'' werden auf einem eigenständigen Ergebnisblatt dargestellt. Wie beim ''Pre-Check'' werden die Kriterien als ''Stolpersteine'', ''ungenügend'', ''genügend'' oder ''gut'' dargestellt. Die Kriterien des ''Klima-Check'' sind, wie die ''Pre-Check''-Kriterien, den drei Nachhaltigkeitsbereichen Gesellschaft, Wirtschaft und Umwelt zugeordnet. Ein prozentualer Erfüllungsgrad der Klima-Anforderungen ist auf der linken Seite der Darstellung für den jeweiligen Bereich in horizontaler Balkenform ersichtlich.</v>
      </c>
      <c r="D425" s="300"/>
      <c r="E425" s="972" t="s">
        <v>2010</v>
      </c>
      <c r="F425" s="1591"/>
      <c r="G425" s="972" t="s">
        <v>1175</v>
      </c>
      <c r="H425" s="300"/>
      <c r="I425" s="296" t="s">
        <v>2017</v>
      </c>
      <c r="J425" s="316"/>
      <c r="K425" s="599">
        <f>IF(K418&lt;=0.65,0.2,0)</f>
        <v>0</v>
      </c>
      <c r="L425" s="442"/>
      <c r="M425" s="1"/>
      <c r="N425" s="1"/>
      <c r="O425" s="1"/>
      <c r="P425" s="38"/>
      <c r="Q425" s="138"/>
      <c r="R425" s="138"/>
      <c r="S425" s="138"/>
      <c r="T425" s="138"/>
      <c r="U425" s="138"/>
      <c r="V425" s="138"/>
      <c r="W425" s="138"/>
      <c r="X425" s="138"/>
      <c r="Y425" s="138"/>
      <c r="Z425" s="138"/>
      <c r="AA425" s="138"/>
      <c r="AB425" s="138"/>
      <c r="AC425" s="138"/>
      <c r="AD425" s="138"/>
      <c r="AE425" s="138"/>
      <c r="AF425" s="138"/>
      <c r="AG425" s="138"/>
      <c r="AH425" s="138"/>
      <c r="AI425" s="138"/>
      <c r="AJ425" s="138"/>
      <c r="AK425" s="138"/>
      <c r="AL425" s="138"/>
      <c r="AM425" s="138"/>
      <c r="AN425" s="138"/>
      <c r="AO425" s="138"/>
      <c r="AP425" s="355"/>
      <c r="AQ425" s="355"/>
      <c r="AR425" s="313"/>
      <c r="AS425" s="313"/>
      <c r="AT425" s="313"/>
      <c r="AU425" s="313"/>
      <c r="AV425" s="313"/>
      <c r="AW425" s="138"/>
      <c r="AX425" s="138"/>
      <c r="AY425" s="138"/>
      <c r="BB425" s="138"/>
      <c r="BC425" s="138"/>
      <c r="BD425" s="138"/>
      <c r="BE425" s="138"/>
      <c r="BF425" s="138"/>
      <c r="BG425" s="138"/>
      <c r="BH425" s="138"/>
      <c r="BI425" s="138"/>
    </row>
    <row r="426" spans="1:61" ht="15" customHeight="1">
      <c r="A426" s="138"/>
      <c r="B426" s="333"/>
      <c r="C426" s="284" t="str">
        <f>IF(Tool!$H$7="Français",G426,IF(Tool!$H$7="Italiano",I426,E426))</f>
        <v>Die Berechnung des Erfüllungsgrads ist mit derjenigen beim ''Pre-Check'' vergleichbar und wurde im Abschnitt ''Bewertungsmechanismus'' detailliert erklärt.</v>
      </c>
      <c r="D426" s="300"/>
      <c r="E426" s="972" t="s">
        <v>1661</v>
      </c>
      <c r="F426" s="1591"/>
      <c r="G426" s="972" t="s">
        <v>571</v>
      </c>
      <c r="H426" s="300"/>
      <c r="I426" s="296" t="s">
        <v>1177</v>
      </c>
      <c r="J426" s="316"/>
      <c r="K426" s="601">
        <f>IF(K418&lt;=0.85,0.15,0)</f>
        <v>0.15</v>
      </c>
      <c r="L426" s="443"/>
      <c r="M426" s="447"/>
      <c r="N426" s="447"/>
      <c r="O426" s="447"/>
      <c r="P426" s="444"/>
      <c r="Q426" s="138"/>
      <c r="R426" s="138"/>
      <c r="S426" s="138"/>
      <c r="T426" s="138"/>
      <c r="U426" s="138"/>
      <c r="V426" s="138"/>
      <c r="W426" s="138"/>
      <c r="X426" s="138"/>
      <c r="Y426" s="138"/>
      <c r="Z426" s="138"/>
      <c r="AA426" s="138"/>
      <c r="AB426" s="138"/>
      <c r="AC426" s="138"/>
      <c r="AD426" s="138"/>
      <c r="AE426" s="138"/>
      <c r="AF426" s="138"/>
      <c r="AG426" s="138"/>
      <c r="AH426" s="138"/>
      <c r="AI426" s="138"/>
      <c r="AJ426" s="138"/>
      <c r="AK426" s="138"/>
      <c r="AL426" s="138"/>
      <c r="AM426" s="138"/>
      <c r="AN426" s="138"/>
      <c r="AO426" s="138"/>
      <c r="AP426" s="355"/>
      <c r="AQ426" s="355"/>
      <c r="AR426" s="313"/>
      <c r="AS426" s="313"/>
      <c r="AT426" s="313"/>
      <c r="AU426" s="313"/>
      <c r="AV426" s="355"/>
      <c r="AW426" s="355"/>
      <c r="AX426" s="138"/>
      <c r="AY426" s="138"/>
      <c r="BB426" s="138"/>
      <c r="BC426" s="138"/>
      <c r="BD426" s="138"/>
      <c r="BE426" s="138"/>
      <c r="BF426" s="138"/>
      <c r="BG426" s="138"/>
      <c r="BH426" s="138"/>
      <c r="BI426" s="138"/>
    </row>
    <row r="427" spans="1:61" ht="15" customHeight="1">
      <c r="A427" s="138"/>
      <c r="B427" s="334"/>
      <c r="C427" s="284" t="str">
        <f>IF(Tool!$H$7="Français",G427,IF(Tool!$H$7="Italiano",I427,E427))</f>
        <v>77 % der Anforderungen des Klima-Checks wurden erfüllt</v>
      </c>
      <c r="D427" s="301"/>
      <c r="E427" s="1648" t="s">
        <v>1176</v>
      </c>
      <c r="F427" s="1657"/>
      <c r="G427" s="1648" t="s">
        <v>1915</v>
      </c>
      <c r="H427" s="301"/>
      <c r="I427" s="298" t="s">
        <v>1892</v>
      </c>
      <c r="J427" s="316"/>
      <c r="K427" s="1137" t="str">
        <f>AL23</f>
        <v>Qualität der Entwicklung</v>
      </c>
      <c r="L427" s="620">
        <v>0.65</v>
      </c>
      <c r="M427" s="440"/>
      <c r="N427" s="445"/>
      <c r="O427" s="445"/>
      <c r="P427" s="441"/>
      <c r="Q427" s="138"/>
      <c r="R427" s="138"/>
      <c r="S427" s="138"/>
      <c r="T427" s="138"/>
      <c r="U427" s="138"/>
      <c r="V427" s="138"/>
      <c r="W427" s="138"/>
      <c r="X427" s="138"/>
      <c r="Y427" s="138"/>
      <c r="Z427" s="138"/>
      <c r="AA427" s="138"/>
      <c r="AB427" s="138"/>
      <c r="AC427" s="138"/>
      <c r="AD427" s="138"/>
      <c r="AE427" s="138"/>
      <c r="AF427" s="138"/>
      <c r="AG427" s="138"/>
      <c r="AH427" s="138"/>
      <c r="AI427" s="138"/>
      <c r="AJ427" s="138"/>
      <c r="AK427" s="138"/>
      <c r="AL427" s="138"/>
      <c r="AM427" s="138"/>
      <c r="AN427" s="138"/>
      <c r="AO427" s="138"/>
      <c r="AP427" s="355"/>
      <c r="AQ427" s="355"/>
      <c r="AR427" s="313"/>
      <c r="AS427" s="313"/>
      <c r="AT427" s="313"/>
      <c r="AU427" s="313"/>
      <c r="AV427" s="311"/>
      <c r="AW427" s="355"/>
      <c r="AX427" s="138"/>
      <c r="AY427" s="138"/>
      <c r="BB427" s="138"/>
      <c r="BC427" s="138"/>
      <c r="BD427" s="138"/>
      <c r="BE427" s="138"/>
      <c r="BF427" s="138"/>
      <c r="BG427" s="138"/>
      <c r="BH427" s="138"/>
      <c r="BI427" s="138"/>
    </row>
    <row r="428" spans="1:61" ht="15" customHeight="1">
      <c r="A428" s="138"/>
      <c r="B428" s="331" t="s">
        <v>479</v>
      </c>
      <c r="C428" s="869" t="str">
        <f>IF(Tool!$H$7="Français",G428,IF(Tool!$H$7="Italiano",I428,E428))</f>
        <v>Sie können jetzt mit dem Fragenkatalog beginnen.</v>
      </c>
      <c r="D428" s="913" t="s">
        <v>479</v>
      </c>
      <c r="E428" s="1620" t="s">
        <v>84</v>
      </c>
      <c r="F428" s="1631" t="s">
        <v>479</v>
      </c>
      <c r="G428" s="1620" t="s">
        <v>85</v>
      </c>
      <c r="H428" s="913"/>
      <c r="I428" s="332" t="s">
        <v>1146</v>
      </c>
      <c r="J428" s="315"/>
      <c r="K428" s="1133" t="str">
        <f>AL26</f>
        <v>Angebot &amp; Erreichbarkeit</v>
      </c>
      <c r="L428" s="621">
        <v>0.65500000000000003</v>
      </c>
      <c r="M428" s="442"/>
      <c r="N428" s="1"/>
      <c r="O428" s="1"/>
      <c r="P428" s="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355"/>
      <c r="AQ428" s="355"/>
      <c r="AR428" s="313"/>
      <c r="AS428" s="313"/>
      <c r="AT428" s="313"/>
      <c r="AU428" s="313"/>
      <c r="AV428" s="138"/>
      <c r="AW428" s="311"/>
      <c r="AX428" s="138"/>
      <c r="AY428" s="138"/>
      <c r="BB428" s="138"/>
      <c r="BC428" s="138"/>
      <c r="BD428" s="138"/>
      <c r="BE428" s="138"/>
      <c r="BF428" s="138"/>
      <c r="BG428" s="138"/>
      <c r="BH428" s="138"/>
      <c r="BI428" s="138"/>
    </row>
    <row r="429" spans="1:61" ht="15" customHeight="1">
      <c r="A429" s="138"/>
      <c r="B429" s="333"/>
      <c r="C429" s="284" t="str">
        <f>IF(Tool!$H$7="Français",G429,IF(Tool!$H$7="Italiano",I429,E429))</f>
        <v>Bemerkung 1: Wenn Sie den Text einer Frage nicht vollständig sehen können, versuchen Sie bitte, die Zoomeinstellung des Fensters im Excel anzupassen.</v>
      </c>
      <c r="D429" s="302"/>
      <c r="E429" s="972" t="s">
        <v>394</v>
      </c>
      <c r="F429" s="1634"/>
      <c r="G429" s="972" t="s">
        <v>364</v>
      </c>
      <c r="H429" s="302"/>
      <c r="I429" s="296" t="s">
        <v>1147</v>
      </c>
      <c r="J429" s="316"/>
      <c r="K429" s="1133" t="str">
        <f>AL28</f>
        <v>Gebrauchsqualität</v>
      </c>
      <c r="L429" s="621">
        <v>0.95</v>
      </c>
      <c r="M429" s="442"/>
      <c r="N429" s="1"/>
      <c r="O429" s="1"/>
      <c r="P429" s="38"/>
      <c r="Q429" s="138"/>
      <c r="R429" s="138"/>
      <c r="S429" s="138"/>
      <c r="T429" s="138"/>
      <c r="U429" s="138"/>
      <c r="V429" s="138"/>
      <c r="W429" s="138"/>
      <c r="X429" s="138"/>
      <c r="Y429" s="138"/>
      <c r="Z429" s="138"/>
      <c r="AA429" s="138"/>
      <c r="AB429" s="138"/>
      <c r="AC429" s="138"/>
      <c r="AD429" s="138"/>
      <c r="AE429" s="138"/>
      <c r="AF429" s="138"/>
      <c r="AG429" s="138"/>
      <c r="AH429" s="138"/>
      <c r="AI429" s="138"/>
      <c r="AJ429" s="138"/>
      <c r="AK429" s="138"/>
      <c r="AL429" s="138"/>
      <c r="AM429" s="138"/>
      <c r="AN429" s="138"/>
      <c r="AO429" s="138"/>
      <c r="AP429" s="355"/>
      <c r="AQ429" s="355"/>
      <c r="AR429" s="313"/>
      <c r="AS429" s="313"/>
      <c r="AT429" s="313"/>
      <c r="AU429" s="313"/>
      <c r="AV429" s="138"/>
      <c r="AW429" s="138"/>
      <c r="AX429" s="138"/>
      <c r="AY429" s="138"/>
      <c r="BB429" s="138"/>
      <c r="BC429" s="138"/>
      <c r="BD429" s="138"/>
      <c r="BE429" s="138"/>
      <c r="BF429" s="138"/>
      <c r="BG429" s="138"/>
      <c r="BH429" s="138"/>
      <c r="BI429" s="138"/>
    </row>
    <row r="430" spans="1:61" ht="15" customHeight="1">
      <c r="A430" s="138"/>
      <c r="B430" s="333"/>
      <c r="C430" s="284" t="str">
        <f>IF(Tool!$H$7="Français",G430,IF(Tool!$H$7="Italiano",I430,E430))</f>
        <v>Bemerkung 2: Wenn ein Fehler auftritt, wird empfohlen, das Programm zu speichern und neu zu starten.</v>
      </c>
      <c r="D430" s="302"/>
      <c r="E430" s="972" t="s">
        <v>83</v>
      </c>
      <c r="F430" s="1634"/>
      <c r="G430" s="972" t="s">
        <v>80</v>
      </c>
      <c r="H430" s="302"/>
      <c r="I430" s="296" t="s">
        <v>1148</v>
      </c>
      <c r="J430" s="316"/>
      <c r="K430" s="1133" t="str">
        <f>AL30</f>
        <v>Wohlbefinden &amp; Gesundheit</v>
      </c>
      <c r="L430" s="621">
        <v>0.55000000000000004</v>
      </c>
      <c r="M430" s="442"/>
      <c r="N430" s="1"/>
      <c r="O430" s="1"/>
      <c r="P430" s="38"/>
      <c r="Q430" s="138"/>
      <c r="R430" s="138"/>
      <c r="S430" s="138"/>
      <c r="T430" s="138"/>
      <c r="U430" s="138"/>
      <c r="V430" s="138"/>
      <c r="W430" s="138"/>
      <c r="X430" s="138"/>
      <c r="Y430" s="138"/>
      <c r="Z430" s="138"/>
      <c r="AA430" s="138"/>
      <c r="AB430" s="138"/>
      <c r="AC430" s="138"/>
      <c r="AD430" s="138"/>
      <c r="AE430" s="138"/>
      <c r="AF430" s="138"/>
      <c r="AG430" s="138"/>
      <c r="AH430" s="138"/>
      <c r="AI430" s="138"/>
      <c r="AJ430" s="138"/>
      <c r="AK430" s="138"/>
      <c r="AL430" s="138"/>
      <c r="AM430" s="138"/>
      <c r="AN430" s="138"/>
      <c r="AO430" s="138"/>
      <c r="AP430" s="138"/>
      <c r="AQ430" s="138"/>
      <c r="AR430" s="138"/>
      <c r="AS430" s="138"/>
      <c r="AT430" s="138"/>
      <c r="AU430" s="138"/>
      <c r="AV430" s="138"/>
      <c r="AW430" s="138"/>
      <c r="AX430" s="138"/>
      <c r="AY430" s="138"/>
      <c r="BB430" s="138"/>
      <c r="BC430" s="138"/>
      <c r="BD430" s="138"/>
      <c r="BE430" s="138"/>
      <c r="BF430" s="138"/>
      <c r="BG430" s="138"/>
      <c r="BH430" s="138"/>
      <c r="BI430" s="138"/>
    </row>
    <row r="431" spans="1:61" ht="15" customHeight="1">
      <c r="A431" s="138"/>
      <c r="B431" s="333"/>
      <c r="C431" s="284" t="str">
        <f>IF(Tool!$H$7="Français",G431,IF(Tool!$H$7="Italiano",I431,E431))</f>
        <v>Für weitere Informationen zum NNBS können Sie diesem Link folgen:</v>
      </c>
      <c r="D431" s="302"/>
      <c r="E431" s="972" t="s">
        <v>218</v>
      </c>
      <c r="F431" s="1634"/>
      <c r="G431" s="972" t="s">
        <v>81</v>
      </c>
      <c r="H431" s="302"/>
      <c r="I431" s="296" t="s">
        <v>1149</v>
      </c>
      <c r="J431" s="316"/>
      <c r="K431" s="1134" t="str">
        <f>AL38</f>
        <v>Lebenszyklus</v>
      </c>
      <c r="L431" s="623">
        <v>0.5</v>
      </c>
      <c r="M431" s="442"/>
      <c r="N431" s="1"/>
      <c r="O431" s="1"/>
      <c r="P431" s="38"/>
      <c r="Q431" s="138"/>
      <c r="R431" s="138"/>
      <c r="S431" s="138"/>
      <c r="T431" s="138"/>
      <c r="U431" s="138"/>
      <c r="V431" s="138"/>
      <c r="W431" s="138"/>
      <c r="X431" s="138"/>
      <c r="Y431" s="138"/>
      <c r="Z431" s="138"/>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BB431" s="138"/>
      <c r="BC431" s="138"/>
      <c r="BD431" s="138"/>
      <c r="BE431" s="138"/>
      <c r="BF431" s="138"/>
      <c r="BG431" s="138"/>
      <c r="BH431" s="138"/>
      <c r="BI431" s="138"/>
    </row>
    <row r="432" spans="1:61" ht="15" customHeight="1">
      <c r="A432" s="138"/>
      <c r="B432" s="303"/>
      <c r="C432" s="298" t="str">
        <f>IF(Tool!$H$7="Français",G432,IF(Tool!$H$7="Italiano",I432,E432))</f>
        <v>Für weitere Informationen zum SNBS können Sie diesem Link folgen:</v>
      </c>
      <c r="D432" s="303"/>
      <c r="E432" s="1648" t="s">
        <v>219</v>
      </c>
      <c r="F432" s="1641"/>
      <c r="G432" s="1648" t="s">
        <v>82</v>
      </c>
      <c r="H432" s="303"/>
      <c r="I432" s="298" t="s">
        <v>1150</v>
      </c>
      <c r="J432" s="316"/>
      <c r="K432" s="1134" t="str">
        <f>AL41</f>
        <v>Nutzbarkeit</v>
      </c>
      <c r="L432" s="623">
        <v>0.65</v>
      </c>
      <c r="M432" s="442"/>
      <c r="N432" s="1"/>
      <c r="O432" s="1"/>
      <c r="P432" s="38"/>
      <c r="Q432" s="138"/>
      <c r="R432" s="138"/>
      <c r="S432" s="138"/>
      <c r="T432" s="138"/>
      <c r="U432" s="138"/>
      <c r="V432" s="138"/>
      <c r="W432" s="138"/>
      <c r="X432" s="138"/>
      <c r="Y432" s="138"/>
      <c r="Z432" s="138"/>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BB432" s="138"/>
      <c r="BC432" s="138"/>
      <c r="BD432" s="138"/>
      <c r="BE432" s="138"/>
      <c r="BF432" s="138"/>
      <c r="BG432" s="138"/>
      <c r="BH432" s="138"/>
      <c r="BI432" s="138"/>
    </row>
    <row r="433" spans="1:61" ht="15" customHeight="1">
      <c r="A433" s="138"/>
      <c r="B433" s="1612"/>
      <c r="C433" s="290"/>
      <c r="D433" s="142"/>
      <c r="E433" s="142"/>
      <c r="F433" s="142"/>
      <c r="G433" s="142"/>
      <c r="H433" s="142"/>
      <c r="I433" s="142"/>
      <c r="J433" s="142"/>
      <c r="K433" s="1134" t="str">
        <f>AL44</f>
        <v>Regionalökonomie</v>
      </c>
      <c r="L433" s="623">
        <v>0.3</v>
      </c>
      <c r="M433" s="442"/>
      <c r="N433" s="1"/>
      <c r="O433" s="1"/>
      <c r="P433" s="38"/>
      <c r="Q433" s="138"/>
      <c r="R433" s="138"/>
      <c r="S433" s="138"/>
      <c r="T433" s="138"/>
      <c r="U433" s="138"/>
      <c r="V433" s="138"/>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BB433" s="138"/>
      <c r="BC433" s="138"/>
      <c r="BD433" s="138"/>
      <c r="BE433" s="138"/>
      <c r="BF433" s="138"/>
      <c r="BG433" s="138"/>
      <c r="BH433" s="138"/>
      <c r="BI433" s="138"/>
    </row>
    <row r="434" spans="1:61" ht="15" customHeight="1">
      <c r="A434" s="138"/>
      <c r="B434" s="305"/>
      <c r="C434" s="869" t="str">
        <f>IF(Tool!$H$7="Français",G434,IF(Tool!$H$7="Italiano",I434,E434))</f>
        <v>Info</v>
      </c>
      <c r="D434" s="306"/>
      <c r="E434" s="294" t="s">
        <v>537</v>
      </c>
      <c r="F434" s="306"/>
      <c r="G434" s="294" t="s">
        <v>539</v>
      </c>
      <c r="H434" s="306"/>
      <c r="I434" s="294" t="s">
        <v>537</v>
      </c>
      <c r="J434" s="316"/>
      <c r="K434" s="1135" t="str">
        <f>AL46</f>
        <v>Klimaschutz</v>
      </c>
      <c r="L434" s="624">
        <v>0.8</v>
      </c>
      <c r="M434" s="442"/>
      <c r="N434" s="1"/>
      <c r="O434" s="1"/>
      <c r="P434" s="38"/>
      <c r="Q434" s="138"/>
      <c r="R434" s="138"/>
      <c r="S434" s="138"/>
      <c r="T434" s="138"/>
      <c r="U434" s="138"/>
      <c r="V434" s="138"/>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BB434" s="138"/>
      <c r="BC434" s="138"/>
      <c r="BD434" s="138"/>
      <c r="BE434" s="138"/>
      <c r="BF434" s="138"/>
      <c r="BG434" s="138"/>
      <c r="BH434" s="138"/>
      <c r="BI434" s="138"/>
    </row>
    <row r="435" spans="1:61" ht="15" customHeight="1">
      <c r="A435" s="138"/>
      <c r="B435" s="299"/>
      <c r="C435" s="432" t="str">
        <f>IF(Tool!$H$7="Français",G435,IF(Tool!$H$7="Italiano",I435,E435))</f>
        <v>Fenster schliessen</v>
      </c>
      <c r="D435" s="306"/>
      <c r="E435" s="294" t="s">
        <v>129</v>
      </c>
      <c r="F435" s="306"/>
      <c r="G435" s="294" t="s">
        <v>293</v>
      </c>
      <c r="H435" s="306"/>
      <c r="I435" s="294" t="s">
        <v>1181</v>
      </c>
      <c r="J435" s="361"/>
      <c r="K435" s="668" t="str">
        <f>AL49</f>
        <v>Energie</v>
      </c>
      <c r="L435" s="624">
        <v>0.9</v>
      </c>
      <c r="M435" s="442"/>
      <c r="N435" s="1"/>
      <c r="O435" s="1"/>
      <c r="P435" s="38"/>
      <c r="Q435" s="138"/>
      <c r="R435" s="138"/>
      <c r="S435" s="138"/>
      <c r="T435" s="138"/>
      <c r="U435" s="138"/>
      <c r="V435" s="138"/>
      <c r="W435" s="138"/>
      <c r="X435" s="138"/>
      <c r="Y435" s="138"/>
      <c r="Z435" s="138"/>
      <c r="AA435" s="138"/>
      <c r="AB435" s="138"/>
      <c r="AC435" s="138"/>
      <c r="AD435" s="138"/>
      <c r="AE435" s="138"/>
      <c r="AF435" s="138"/>
      <c r="AG435" s="138"/>
      <c r="AH435" s="138"/>
      <c r="AI435" s="138"/>
      <c r="AJ435" s="138"/>
      <c r="AK435" s="138"/>
      <c r="AL435" s="138"/>
      <c r="AM435" s="138"/>
      <c r="AN435" s="138"/>
      <c r="AO435" s="138"/>
      <c r="AP435" s="138"/>
      <c r="AQ435" s="138"/>
      <c r="AR435" s="138"/>
      <c r="AS435" s="138"/>
      <c r="AT435" s="138"/>
      <c r="AU435" s="138"/>
      <c r="AV435" s="138"/>
      <c r="AW435" s="138"/>
      <c r="AX435" s="138"/>
      <c r="AY435" s="138"/>
      <c r="BB435" s="138"/>
      <c r="BC435" s="138"/>
      <c r="BD435" s="138"/>
      <c r="BE435" s="138"/>
      <c r="BF435" s="138"/>
      <c r="BG435" s="138"/>
      <c r="BH435" s="138"/>
      <c r="BI435" s="138"/>
    </row>
    <row r="436" spans="1:61" ht="15" customHeight="1">
      <c r="A436" s="138"/>
      <c r="B436" s="301"/>
      <c r="C436" s="432" t="str">
        <f>IF(Tool!$H$7="Français",G436,IF(Tool!$H$7="Italiano",I436,E436))</f>
        <v>Fragenkatalog in einem neuen Fenster</v>
      </c>
      <c r="D436" s="348"/>
      <c r="E436" s="326" t="s">
        <v>128</v>
      </c>
      <c r="F436" s="348"/>
      <c r="G436" s="326" t="s">
        <v>294</v>
      </c>
      <c r="H436" s="348"/>
      <c r="I436" s="326" t="s">
        <v>1182</v>
      </c>
      <c r="J436" s="316"/>
      <c r="K436" s="668" t="str">
        <f>AL51</f>
        <v>Ressourcenschonung &amp; Umweltschutz</v>
      </c>
      <c r="L436" s="624">
        <v>0.9</v>
      </c>
      <c r="M436" s="442"/>
      <c r="N436" s="1"/>
      <c r="O436" s="1"/>
      <c r="P436" s="38"/>
      <c r="Q436" s="138"/>
      <c r="R436" s="138"/>
      <c r="S436" s="138"/>
      <c r="T436" s="138"/>
      <c r="U436" s="138"/>
      <c r="V436" s="138"/>
      <c r="W436" s="138"/>
      <c r="X436" s="138"/>
      <c r="Y436" s="138"/>
      <c r="Z436" s="138"/>
      <c r="AA436" s="138"/>
      <c r="AB436" s="138"/>
      <c r="AC436" s="138"/>
      <c r="AD436" s="138"/>
      <c r="AE436" s="138"/>
      <c r="AF436" s="138"/>
      <c r="AG436" s="138"/>
      <c r="AH436" s="138"/>
      <c r="AI436" s="138"/>
      <c r="AJ436" s="138"/>
      <c r="AK436" s="138"/>
      <c r="AL436" s="138"/>
      <c r="AM436" s="138"/>
      <c r="AN436" s="138"/>
      <c r="AO436" s="138"/>
      <c r="AP436" s="138"/>
      <c r="AQ436" s="138"/>
      <c r="AR436" s="138"/>
      <c r="AS436" s="138"/>
      <c r="AT436" s="138"/>
      <c r="AU436" s="138"/>
      <c r="AV436" s="138"/>
      <c r="AW436" s="138"/>
      <c r="AX436" s="138"/>
      <c r="AY436" s="138"/>
      <c r="BB436" s="138"/>
      <c r="BC436" s="138"/>
      <c r="BD436" s="138"/>
      <c r="BE436" s="138"/>
      <c r="BF436" s="138"/>
      <c r="BG436" s="138"/>
      <c r="BH436" s="138"/>
      <c r="BI436" s="138"/>
    </row>
    <row r="437" spans="1:61" ht="15" customHeight="1">
      <c r="A437" s="138"/>
      <c r="B437" s="299">
        <v>1</v>
      </c>
      <c r="C437" s="415" t="str">
        <f>IF(Tool!$H$7="Français",G437,IF(Tool!$H$7="Italiano",I437,E437))</f>
        <v>In diesem Register finden Sie nützliche Zusatzinformationen zu den Kriterien und zur Fragenbeantwortung. Die Nummerierung entspricht derjenigen in der Hilfsspalte ganz rechts im Register "Check".</v>
      </c>
      <c r="D437" s="299">
        <v>1</v>
      </c>
      <c r="E437" s="325" t="s">
        <v>1666</v>
      </c>
      <c r="F437" s="299">
        <v>1</v>
      </c>
      <c r="G437" s="325" t="s">
        <v>1178</v>
      </c>
      <c r="H437" s="299"/>
      <c r="I437" s="325" t="s">
        <v>1895</v>
      </c>
      <c r="J437" s="361"/>
      <c r="K437" s="1136" t="str">
        <f>AL57</f>
        <v>Natur &amp; Landschaft</v>
      </c>
      <c r="L437" s="625">
        <v>1</v>
      </c>
      <c r="M437" s="442"/>
      <c r="N437" s="1"/>
      <c r="O437" s="1"/>
      <c r="P437" s="38"/>
      <c r="Q437" s="138"/>
      <c r="R437" s="138"/>
      <c r="S437" s="138"/>
      <c r="T437" s="138"/>
      <c r="U437" s="138"/>
      <c r="V437" s="138"/>
      <c r="W437" s="138"/>
      <c r="X437" s="138"/>
      <c r="Y437" s="138"/>
      <c r="Z437" s="138"/>
      <c r="AA437" s="138"/>
      <c r="AB437" s="138"/>
      <c r="AC437" s="138"/>
      <c r="AD437" s="138"/>
      <c r="AE437" s="138"/>
      <c r="AF437" s="138"/>
      <c r="AG437" s="138"/>
      <c r="AH437" s="138"/>
      <c r="AI437" s="138"/>
      <c r="AJ437" s="138"/>
      <c r="AK437" s="138"/>
      <c r="AL437" s="138"/>
      <c r="AM437" s="138"/>
      <c r="AN437" s="138"/>
      <c r="AO437" s="138"/>
      <c r="AP437" s="138"/>
      <c r="AQ437" s="138"/>
      <c r="AR437" s="138"/>
      <c r="AS437" s="138"/>
      <c r="AT437" s="138"/>
      <c r="AU437" s="138"/>
      <c r="AV437" s="138"/>
      <c r="AW437" s="138"/>
      <c r="AX437" s="138"/>
      <c r="AY437" s="138"/>
      <c r="BB437" s="138"/>
      <c r="BC437" s="138"/>
      <c r="BD437" s="138"/>
      <c r="BE437" s="138"/>
      <c r="BF437" s="138"/>
      <c r="BG437" s="138"/>
      <c r="BH437" s="138"/>
      <c r="BI437" s="138"/>
    </row>
    <row r="438" spans="1:61" ht="15" customHeight="1">
      <c r="A438" s="138"/>
      <c r="B438" s="300"/>
      <c r="C438" s="284" t="str">
        <f>IF(Tool!$H$7="Français",G438,IF(Tool!$H$7="Italiano",I438,E438))</f>
        <v>Erneuerung</v>
      </c>
      <c r="D438" s="300"/>
      <c r="E438" s="296" t="s">
        <v>57</v>
      </c>
      <c r="F438" s="300"/>
      <c r="G438" s="296" t="s">
        <v>61</v>
      </c>
      <c r="H438" s="300"/>
      <c r="I438" s="296" t="s">
        <v>1183</v>
      </c>
      <c r="J438" s="361"/>
      <c r="M438" s="443"/>
      <c r="N438" s="447"/>
      <c r="O438" s="447"/>
      <c r="P438" s="444"/>
      <c r="Q438" s="138"/>
      <c r="R438" s="138"/>
      <c r="S438" s="138"/>
      <c r="T438" s="138"/>
      <c r="U438" s="138"/>
      <c r="V438" s="138"/>
      <c r="W438" s="138"/>
      <c r="X438" s="138"/>
      <c r="Y438" s="138"/>
      <c r="Z438" s="138"/>
      <c r="AA438" s="138"/>
      <c r="AB438" s="138"/>
      <c r="AC438" s="138"/>
      <c r="AD438" s="138"/>
      <c r="AE438" s="138"/>
      <c r="AF438" s="138"/>
      <c r="AG438" s="138"/>
      <c r="AH438" s="138"/>
      <c r="AI438" s="138"/>
      <c r="AJ438" s="138"/>
      <c r="AK438" s="138"/>
      <c r="AL438" s="138"/>
      <c r="AM438" s="138"/>
      <c r="AN438" s="138"/>
      <c r="AO438" s="138"/>
      <c r="AP438" s="138"/>
      <c r="AQ438" s="138"/>
      <c r="AR438" s="138"/>
      <c r="AS438" s="138"/>
      <c r="AT438" s="138"/>
      <c r="AU438" s="138"/>
      <c r="AV438" s="138"/>
      <c r="AW438" s="138"/>
      <c r="AX438" s="138"/>
      <c r="AY438" s="138"/>
      <c r="BB438" s="138"/>
      <c r="BC438" s="138"/>
      <c r="BD438" s="138"/>
      <c r="BE438" s="138"/>
      <c r="BF438" s="138"/>
      <c r="BG438" s="138"/>
      <c r="BH438" s="138"/>
      <c r="BI438" s="138"/>
    </row>
    <row r="439" spans="1:61" ht="15" customHeight="1">
      <c r="A439" s="138"/>
      <c r="B439" s="300"/>
      <c r="C439" s="876" t="str">
        <f>IF(Tool!$H$7="Français",G439,IF(Tool!$H$7="Italiano",I439,E439))</f>
        <v>Bei Erneuerungen dürfen im Rahmen einer SNBS-Zertifizierung folgende Kriterien eine ungenügende Note aufweisen. Die Durchschnittsbewertung des übergeordneten Themas muss jedoch genügend bleiben.</v>
      </c>
      <c r="D439" s="300"/>
      <c r="E439" s="298" t="s">
        <v>1179</v>
      </c>
      <c r="F439" s="300"/>
      <c r="G439" s="298" t="s">
        <v>1180</v>
      </c>
      <c r="H439" s="300"/>
      <c r="I439" s="298" t="s">
        <v>1893</v>
      </c>
      <c r="J439" s="361"/>
      <c r="K439" s="630" t="s">
        <v>423</v>
      </c>
      <c r="L439" s="638" t="s">
        <v>424</v>
      </c>
      <c r="M439" s="630" t="s">
        <v>425</v>
      </c>
      <c r="N439" s="638" t="s">
        <v>426</v>
      </c>
      <c r="O439" s="445"/>
      <c r="P439" s="441"/>
      <c r="Q439" s="138"/>
      <c r="R439" s="138"/>
      <c r="S439" s="138"/>
      <c r="T439" s="138"/>
      <c r="U439" s="138"/>
      <c r="V439" s="138"/>
      <c r="W439" s="138"/>
      <c r="X439" s="138"/>
      <c r="Y439" s="138"/>
      <c r="Z439" s="138"/>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BB439" s="138"/>
      <c r="BC439" s="138"/>
      <c r="BD439" s="138"/>
      <c r="BE439" s="138"/>
      <c r="BF439" s="138"/>
      <c r="BG439" s="138"/>
      <c r="BH439" s="138"/>
      <c r="BI439" s="138"/>
    </row>
    <row r="440" spans="1:61" ht="15" customHeight="1">
      <c r="A440" s="138"/>
      <c r="B440" s="299">
        <v>2</v>
      </c>
      <c r="C440" s="869" t="str">
        <f>IF(Tool!$H$7="Français",G440,IF(Tool!$H$7="Italiano",I440,E440))</f>
        <v>SIA Normen</v>
      </c>
      <c r="D440" s="299">
        <v>2</v>
      </c>
      <c r="E440" s="294" t="s">
        <v>173</v>
      </c>
      <c r="F440" s="299">
        <v>2</v>
      </c>
      <c r="G440" s="294" t="s">
        <v>222</v>
      </c>
      <c r="H440" s="299"/>
      <c r="I440" s="294" t="s">
        <v>1186</v>
      </c>
      <c r="J440" s="361"/>
      <c r="K440" s="630">
        <v>0.77</v>
      </c>
      <c r="L440" s="638">
        <v>0.62</v>
      </c>
      <c r="M440" s="630">
        <v>0.83</v>
      </c>
      <c r="N440" s="638">
        <v>0.95</v>
      </c>
      <c r="O440" s="1"/>
      <c r="P440" s="38"/>
      <c r="Q440" s="138"/>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BB440" s="138"/>
      <c r="BC440" s="138"/>
      <c r="BD440" s="138"/>
      <c r="BE440" s="138"/>
      <c r="BF440" s="138"/>
      <c r="BG440" s="138"/>
      <c r="BH440" s="138"/>
      <c r="BI440" s="138"/>
    </row>
    <row r="441" spans="1:61" ht="15" customHeight="1">
      <c r="A441" s="138"/>
      <c r="B441" s="300"/>
      <c r="C441" s="284" t="str">
        <f>IF(Tool!$H$7="Français",G441,IF(Tool!$H$7="Italiano",I441,E441))</f>
        <v>Einige der Kriterien bauen auf gängige Schweizer Normen und Empfehlungen auf, z. B. der SIA. Detaillierte Informationen sind in den angegebenen Dokumenten zu finden:</v>
      </c>
      <c r="D441" s="300"/>
      <c r="E441" s="326" t="s">
        <v>1184</v>
      </c>
      <c r="F441" s="300"/>
      <c r="G441" s="326" t="s">
        <v>1185</v>
      </c>
      <c r="H441" s="300"/>
      <c r="I441" s="326" t="s">
        <v>1187</v>
      </c>
      <c r="J441" s="361"/>
      <c r="K441" s="628">
        <f>IF(K440&lt;=0.5,K440,IF(K440&gt;0.5,0.5))</f>
        <v>0.5</v>
      </c>
      <c r="L441" s="633">
        <f>IF(L440&lt;=0.5,L440,IF(L440&gt;0.5,0.5))</f>
        <v>0.5</v>
      </c>
      <c r="M441" s="628">
        <f>IF(M440&lt;=0.5,M440,IF(M440&gt;0.5,0.5))</f>
        <v>0.5</v>
      </c>
      <c r="N441" s="633">
        <f>IF(N440&lt;=0.5,N440,IF(N440&gt;0.5,0.5))</f>
        <v>0.5</v>
      </c>
      <c r="O441" s="1"/>
      <c r="P441" s="38"/>
      <c r="Q441" s="138"/>
      <c r="R441" s="138"/>
      <c r="S441" s="138"/>
      <c r="T441" s="138"/>
      <c r="U441" s="138"/>
      <c r="V441" s="138"/>
      <c r="W441" s="138"/>
      <c r="X441" s="138"/>
      <c r="Y441" s="138"/>
      <c r="Z441" s="138"/>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BB441" s="138"/>
      <c r="BC441" s="138"/>
      <c r="BD441" s="138"/>
      <c r="BE441" s="138"/>
      <c r="BF441" s="138"/>
      <c r="BG441" s="138"/>
      <c r="BH441" s="138"/>
      <c r="BI441" s="138"/>
    </row>
    <row r="442" spans="1:61" ht="15" customHeight="1">
      <c r="A442" s="138"/>
      <c r="B442" s="300"/>
      <c r="C442" s="284" t="str">
        <f>IF(Tool!$H$7="Français",G442,IF(Tool!$H$7="Italiano",I442,E442))</f>
        <v>Wettbewerb und Planerwahlverfahren</v>
      </c>
      <c r="D442" s="300"/>
      <c r="E442" s="296" t="s">
        <v>1619</v>
      </c>
      <c r="F442" s="300"/>
      <c r="G442" s="296" t="s">
        <v>285</v>
      </c>
      <c r="H442" s="300"/>
      <c r="I442" s="296" t="s">
        <v>1188</v>
      </c>
      <c r="J442" s="361"/>
      <c r="K442" s="631">
        <f>IF(K440&lt;=0.5,0,IF(AND(K440&lt;=0.65,K440&gt;0.5),K440-0.5,IF(K440&gt;0.65,0.15)))</f>
        <v>0.15</v>
      </c>
      <c r="L442" s="634">
        <f>IF(L440&lt;=0.5,0,IF(AND(L440&lt;=0.65,L440&gt;0.5),L440-0.5,IF(L440&gt;0.65,0.15)))</f>
        <v>0.12</v>
      </c>
      <c r="M442" s="631">
        <f>IF(M440&lt;=0.5,0,IF(AND(M440&lt;=0.65,M440&gt;0.5),M440-0.5,IF(M440&gt;0.65,0.15)))</f>
        <v>0.15</v>
      </c>
      <c r="N442" s="634">
        <f>IF(N440&lt;=0.5,0,IF(AND(N440&lt;=0.65,N440&gt;0.5),N440-0.5,IF(N440&gt;0.65,0.15)))</f>
        <v>0.15</v>
      </c>
      <c r="O442" s="1"/>
      <c r="P442" s="38"/>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BB442" s="138"/>
      <c r="BC442" s="138"/>
      <c r="BD442" s="138"/>
      <c r="BE442" s="138"/>
      <c r="BF442" s="138"/>
      <c r="BG442" s="138"/>
      <c r="BH442" s="138"/>
      <c r="BI442" s="138"/>
    </row>
    <row r="443" spans="1:61" ht="15" customHeight="1">
      <c r="A443" s="138"/>
      <c r="B443" s="300"/>
      <c r="C443" s="284" t="str">
        <f>IF(Tool!$H$7="Français",G443,IF(Tool!$H$7="Italiano",I443,E443))</f>
        <v>SIA Ordnung 142/143</v>
      </c>
      <c r="D443" s="300"/>
      <c r="E443" s="296" t="s">
        <v>176</v>
      </c>
      <c r="F443" s="300"/>
      <c r="G443" s="296" t="s">
        <v>249</v>
      </c>
      <c r="H443" s="300"/>
      <c r="I443" s="296" t="s">
        <v>1189</v>
      </c>
      <c r="J443" s="361"/>
      <c r="K443" s="631">
        <f>IF(K440&lt;=0.65,0,IF(AND(K440&lt;=0.85,K440&gt;0.65),K440-0.65,IF(K440&gt;0.85,0.2)))</f>
        <v>0.12</v>
      </c>
      <c r="L443" s="634">
        <f>IF(L440&lt;=0.65,0,IF(AND(L440&lt;=0.85,L440&gt;0.65),L440-0.65,IF(L440&gt;0.85,0.2)))</f>
        <v>0</v>
      </c>
      <c r="M443" s="631">
        <f>IF(M440&lt;=0.65,0,IF(AND(M440&lt;=0.85,M440&gt;0.65),M440-0.65,IF(M440&gt;0.85,0.2)))</f>
        <v>0.17999999999999994</v>
      </c>
      <c r="N443" s="634">
        <f>IF(N440&lt;=0.65,0,IF(AND(N440&lt;=0.85,N440&gt;0.65),N440-0.65,IF(N440&gt;0.85,0.2)))</f>
        <v>0.2</v>
      </c>
      <c r="O443" s="1"/>
      <c r="P443" s="38"/>
      <c r="Q443" s="144"/>
      <c r="R443" s="138"/>
      <c r="S443" s="138"/>
      <c r="T443" s="138"/>
      <c r="U443" s="138"/>
      <c r="V443" s="138"/>
      <c r="W443" s="138"/>
      <c r="X443" s="144"/>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BB443" s="138"/>
      <c r="BC443" s="138"/>
      <c r="BD443" s="138"/>
      <c r="BE443" s="138"/>
      <c r="BF443" s="138"/>
      <c r="BG443" s="138"/>
      <c r="BH443" s="138"/>
      <c r="BI443" s="138"/>
    </row>
    <row r="444" spans="1:61" ht="15" customHeight="1">
      <c r="A444" s="138"/>
      <c r="B444" s="300"/>
      <c r="C444" s="284" t="str">
        <f>IF(Tool!$H$7="Français",G444,IF(Tool!$H$7="Italiano",I444,E444))</f>
        <v>SIA Ordnung 144</v>
      </c>
      <c r="D444" s="300"/>
      <c r="E444" s="296" t="s">
        <v>175</v>
      </c>
      <c r="F444" s="300"/>
      <c r="G444" s="296" t="s">
        <v>250</v>
      </c>
      <c r="H444" s="300"/>
      <c r="I444" s="296" t="s">
        <v>1190</v>
      </c>
      <c r="J444" s="361"/>
      <c r="K444" s="632">
        <f>IF(K440&lt;=0.85,0,IF(AND(K440&lt;=1,K440&gt;0.85),K440-0.85,IF(K440&gt;1,0.15)))</f>
        <v>0</v>
      </c>
      <c r="L444" s="635">
        <f>IF(L440&lt;=0.85,0,IF(AND(L440&lt;=1,L440&gt;0.85),L440-0.85,IF(L440&gt;1,0.15)))</f>
        <v>0</v>
      </c>
      <c r="M444" s="632">
        <f>IF(M440&lt;=0.85,0,IF(AND(M440&lt;=1,M440&gt;0.85),M440-0.85,IF(M440&gt;1,0.15)))</f>
        <v>0</v>
      </c>
      <c r="N444" s="635">
        <f>IF(N440&lt;=0.85,0,IF(AND(N440&lt;=1,N440&gt;0.85),N440-0.85,IF(N440&gt;1,0.15)))</f>
        <v>9.9999999999999978E-2</v>
      </c>
      <c r="O444" s="1"/>
      <c r="P444" s="38"/>
      <c r="Q444" s="138"/>
      <c r="R444" s="138"/>
      <c r="S444" s="138"/>
      <c r="T444" s="138"/>
      <c r="U444" s="138"/>
      <c r="V444" s="138"/>
      <c r="W444" s="138"/>
      <c r="X444" s="138"/>
      <c r="Y444" s="138"/>
      <c r="Z444" s="138"/>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BB444" s="138"/>
      <c r="BC444" s="138"/>
      <c r="BD444" s="138"/>
      <c r="BE444" s="138"/>
      <c r="BF444" s="138"/>
      <c r="BG444" s="138"/>
      <c r="BH444" s="138"/>
      <c r="BI444" s="138"/>
    </row>
    <row r="445" spans="1:61" ht="15" customHeight="1">
      <c r="A445" s="138"/>
      <c r="B445" s="300"/>
      <c r="C445" s="284" t="str">
        <f>IF(Tool!$H$7="Français",G445,IF(Tool!$H$7="Italiano",I445,E445))</f>
        <v>Wärmeschutz, Feuchteschutz und Raumklima in Gebäuden</v>
      </c>
      <c r="D445" s="300"/>
      <c r="E445" s="296" t="s">
        <v>177</v>
      </c>
      <c r="F445" s="300"/>
      <c r="G445" s="296" t="s">
        <v>251</v>
      </c>
      <c r="H445" s="300"/>
      <c r="I445" s="296" t="s">
        <v>1191</v>
      </c>
      <c r="J445" s="361"/>
      <c r="K445" s="628">
        <f>IF(K440=1,0,
IF(K440&gt;0.85,0.15-K444,
IF(K440&gt;0.65,0.2-K443,
IF(K440&gt;0.5,0.15-K442,
0.5-K441))))</f>
        <v>8.0000000000000016E-2</v>
      </c>
      <c r="L445" s="633">
        <f>IF(L440=1,0,
IF(L440&gt;0.85,0.15-L444,
IF(L440&gt;0.65,0.2-L443,
IF(L440&gt;0.5,0.15-L442,
0.5-L441))))</f>
        <v>0.03</v>
      </c>
      <c r="M445" s="628">
        <f>IF(M440=1,0,
IF(M440&gt;0.85,0.15-M444,
IF(M440&gt;0.65,0.2-M443,
IF(M440&gt;0.5,0.15-M442,
0.5-M441))))</f>
        <v>2.0000000000000073E-2</v>
      </c>
      <c r="N445" s="633">
        <f>IF(N440=1,0,
IF(N440&gt;0.85,0.15-N444,
IF(N440&gt;0.65,0.2-N443,
IF(N440&gt;0.5,0.15-N442,
0.5-N441))))</f>
        <v>5.0000000000000017E-2</v>
      </c>
      <c r="O445" s="1"/>
      <c r="P445" s="38"/>
      <c r="Q445" s="138"/>
      <c r="R445" s="138"/>
      <c r="S445" s="138"/>
      <c r="T445" s="138"/>
      <c r="U445" s="138"/>
      <c r="V445" s="138"/>
      <c r="W445" s="138"/>
      <c r="X445" s="138"/>
      <c r="Y445" s="138"/>
      <c r="Z445" s="138"/>
      <c r="AA445" s="138"/>
      <c r="AB445" s="138"/>
      <c r="AC445" s="138"/>
      <c r="AD445" s="138"/>
      <c r="AE445" s="138"/>
      <c r="AF445" s="138"/>
      <c r="AG445" s="138"/>
      <c r="AH445" s="138"/>
      <c r="AI445" s="138"/>
      <c r="AJ445" s="138"/>
      <c r="AK445" s="138"/>
      <c r="AL445" s="138"/>
      <c r="AM445" s="138"/>
      <c r="AN445" s="138"/>
      <c r="AO445" s="138"/>
      <c r="AP445" s="138"/>
      <c r="AQ445" s="138"/>
      <c r="AR445" s="138"/>
      <c r="AS445" s="138"/>
      <c r="AT445" s="138"/>
      <c r="AU445" s="138"/>
      <c r="AV445" s="138"/>
      <c r="AW445" s="138"/>
      <c r="AX445" s="138"/>
      <c r="AY445" s="138"/>
      <c r="BB445" s="138"/>
      <c r="BC445" s="138"/>
      <c r="BD445" s="138"/>
      <c r="BE445" s="138"/>
      <c r="BF445" s="138"/>
      <c r="BG445" s="138"/>
      <c r="BH445" s="138"/>
      <c r="BI445" s="138"/>
    </row>
    <row r="446" spans="1:61" ht="15" customHeight="1">
      <c r="A446" s="138"/>
      <c r="B446" s="300"/>
      <c r="C446" s="284" t="str">
        <f>IF(Tool!$H$7="Français",G446,IF(Tool!$H$7="Italiano",I446,E446))</f>
        <v>SIA Norm 180</v>
      </c>
      <c r="D446" s="300"/>
      <c r="E446" s="296" t="s">
        <v>178</v>
      </c>
      <c r="F446" s="300"/>
      <c r="G446" s="296" t="s">
        <v>252</v>
      </c>
      <c r="H446" s="300"/>
      <c r="I446" s="296" t="s">
        <v>1192</v>
      </c>
      <c r="J446" s="361"/>
      <c r="K446" s="631">
        <f>IF(K440&lt;=0.5,0.15,0)</f>
        <v>0</v>
      </c>
      <c r="L446" s="634">
        <f>IF(L440&lt;=0.5,0.15,0)</f>
        <v>0</v>
      </c>
      <c r="M446" s="631">
        <f>IF(M440&lt;=0.5,0.15,0)</f>
        <v>0</v>
      </c>
      <c r="N446" s="634">
        <f>IF(N440&lt;=0.5,0.15,0)</f>
        <v>0</v>
      </c>
      <c r="O446" s="1"/>
      <c r="P446" s="38"/>
      <c r="Q446" s="138"/>
      <c r="R446" s="138"/>
      <c r="S446" s="138"/>
      <c r="T446" s="138"/>
      <c r="U446" s="138"/>
      <c r="V446" s="138"/>
      <c r="W446" s="138"/>
      <c r="X446" s="138"/>
      <c r="Y446" s="138"/>
      <c r="Z446" s="138"/>
      <c r="AA446" s="138"/>
      <c r="AB446" s="138"/>
      <c r="AC446" s="138"/>
      <c r="AD446" s="138"/>
      <c r="AE446" s="138"/>
      <c r="AF446" s="138"/>
      <c r="AG446" s="138"/>
      <c r="AH446" s="138"/>
      <c r="AI446" s="138"/>
      <c r="AJ446" s="138"/>
      <c r="AK446" s="138"/>
      <c r="AL446" s="138"/>
      <c r="AM446" s="138"/>
      <c r="AN446" s="138"/>
      <c r="AO446" s="138"/>
      <c r="AP446" s="138"/>
      <c r="AQ446" s="138"/>
      <c r="AR446" s="138"/>
      <c r="AS446" s="138"/>
      <c r="AT446" s="138"/>
      <c r="AU446" s="138"/>
      <c r="AV446" s="138"/>
      <c r="AW446" s="138"/>
      <c r="AX446" s="138"/>
      <c r="AY446" s="138"/>
      <c r="BB446" s="138"/>
      <c r="BC446" s="138"/>
      <c r="BD446" s="138"/>
      <c r="BE446" s="138"/>
      <c r="BF446" s="138"/>
      <c r="BG446" s="138"/>
      <c r="BH446" s="138"/>
      <c r="BI446" s="138"/>
    </row>
    <row r="447" spans="1:61" ht="15" customHeight="1">
      <c r="A447" s="138"/>
      <c r="B447" s="300"/>
      <c r="C447" s="284" t="str">
        <f>IF(Tool!$H$7="Français",G447,IF(Tool!$H$7="Italiano",I447,E447))</f>
        <v>Schallschutz im Hochbau</v>
      </c>
      <c r="D447" s="300"/>
      <c r="E447" s="296" t="s">
        <v>174</v>
      </c>
      <c r="F447" s="300"/>
      <c r="G447" s="296" t="s">
        <v>253</v>
      </c>
      <c r="H447" s="300"/>
      <c r="I447" s="296" t="s">
        <v>1194</v>
      </c>
      <c r="J447" s="361"/>
      <c r="K447" s="631">
        <f>IF(K440&lt;=0.65,0.2,0)</f>
        <v>0</v>
      </c>
      <c r="L447" s="634">
        <f>IF(L440&lt;=0.65,0.2,0)</f>
        <v>0.2</v>
      </c>
      <c r="M447" s="631">
        <f>IF(M440&lt;=0.65,0.2,0)</f>
        <v>0</v>
      </c>
      <c r="N447" s="634">
        <f>IF(N440&lt;=0.65,0.2,0)</f>
        <v>0</v>
      </c>
      <c r="O447" s="1"/>
      <c r="P447" s="38"/>
      <c r="Q447" s="138"/>
      <c r="R447" s="138"/>
      <c r="S447" s="138"/>
      <c r="T447" s="138"/>
      <c r="U447" s="138"/>
      <c r="V447" s="138"/>
      <c r="W447" s="138"/>
      <c r="X447" s="138"/>
      <c r="Y447" s="138"/>
      <c r="Z447" s="138"/>
      <c r="AA447" s="138"/>
      <c r="AB447" s="138"/>
      <c r="AC447" s="138"/>
      <c r="AD447" s="138"/>
      <c r="AE447" s="138"/>
      <c r="AF447" s="138"/>
      <c r="AG447" s="138"/>
      <c r="AH447" s="138"/>
      <c r="AI447" s="138"/>
      <c r="AJ447" s="138"/>
      <c r="AK447" s="138"/>
      <c r="AL447" s="138"/>
      <c r="AM447" s="138"/>
      <c r="AN447" s="138"/>
      <c r="AO447" s="138"/>
      <c r="AP447" s="138"/>
      <c r="AQ447" s="138"/>
      <c r="AR447" s="138"/>
      <c r="AS447" s="138"/>
      <c r="AT447" s="138"/>
      <c r="AU447" s="138"/>
      <c r="AV447" s="138"/>
      <c r="AW447" s="138"/>
      <c r="AX447" s="138"/>
      <c r="AY447" s="138"/>
      <c r="BB447" s="138"/>
      <c r="BC447" s="138"/>
      <c r="BD447" s="138"/>
      <c r="BE447" s="138"/>
      <c r="BF447" s="138"/>
      <c r="BG447" s="138"/>
      <c r="BH447" s="138"/>
      <c r="BI447" s="138"/>
    </row>
    <row r="448" spans="1:61" ht="15" customHeight="1">
      <c r="A448" s="138"/>
      <c r="B448" s="296"/>
      <c r="C448" s="284" t="str">
        <f>IF(Tool!$H$7="Français",G448,IF(Tool!$H$7="Italiano",I448,E448))</f>
        <v>SIA Norm 181</v>
      </c>
      <c r="D448" s="296"/>
      <c r="E448" s="296" t="s">
        <v>179</v>
      </c>
      <c r="F448" s="296"/>
      <c r="G448" s="296" t="s">
        <v>254</v>
      </c>
      <c r="H448" s="296"/>
      <c r="I448" s="296" t="s">
        <v>1193</v>
      </c>
      <c r="J448" s="316"/>
      <c r="K448" s="632">
        <f>IF(K440&lt;=0.85,0.15,0)</f>
        <v>0.15</v>
      </c>
      <c r="L448" s="635">
        <f>IF(L440&lt;=0.85,0.15,0)</f>
        <v>0.15</v>
      </c>
      <c r="M448" s="632">
        <f>IF(M440&lt;=0.85,0.15,0)</f>
        <v>0.15</v>
      </c>
      <c r="N448" s="635">
        <f>IF(N440&lt;=0.85,0.15,0)</f>
        <v>0</v>
      </c>
      <c r="O448" s="447"/>
      <c r="P448" s="444"/>
      <c r="Q448" s="138"/>
      <c r="R448" s="138"/>
      <c r="S448" s="138"/>
      <c r="T448" s="138"/>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BB448" s="138"/>
      <c r="BC448" s="138"/>
      <c r="BD448" s="138"/>
      <c r="BE448" s="138"/>
      <c r="BF448" s="138"/>
      <c r="BG448" s="138"/>
      <c r="BH448" s="138"/>
      <c r="BI448" s="138"/>
    </row>
    <row r="449" spans="1:61" ht="15" customHeight="1">
      <c r="A449" s="138"/>
      <c r="B449" s="300"/>
      <c r="C449" s="284" t="str">
        <f>IF(Tool!$H$7="Français",G449,IF(Tool!$H$7="Italiano",I449,E449))</f>
        <v>Heizwärmebedarf</v>
      </c>
      <c r="D449" s="300"/>
      <c r="E449" s="296" t="s">
        <v>183</v>
      </c>
      <c r="F449" s="300"/>
      <c r="G449" s="296" t="s">
        <v>255</v>
      </c>
      <c r="H449" s="300"/>
      <c r="I449" s="296" t="s">
        <v>1195</v>
      </c>
      <c r="J449" s="361"/>
      <c r="K449" s="318"/>
      <c r="L449" s="138"/>
      <c r="M449" s="138"/>
      <c r="N449" s="138"/>
      <c r="O449" s="138"/>
      <c r="P449" s="138"/>
      <c r="Q449" s="138"/>
      <c r="R449" s="138"/>
      <c r="S449" s="138"/>
      <c r="T449" s="138"/>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BB449" s="138"/>
      <c r="BC449" s="138"/>
      <c r="BD449" s="138"/>
      <c r="BE449" s="138"/>
      <c r="BF449" s="138"/>
      <c r="BG449" s="138"/>
      <c r="BH449" s="138"/>
      <c r="BI449" s="138"/>
    </row>
    <row r="450" spans="1:61" ht="15" customHeight="1">
      <c r="A450" s="138"/>
      <c r="B450" s="300"/>
      <c r="C450" s="284" t="str">
        <f>IF(Tool!$H$7="Français",G450,IF(Tool!$H$7="Italiano",I450,E450))</f>
        <v>SIA Norm 380/1</v>
      </c>
      <c r="D450" s="300"/>
      <c r="E450" s="296" t="s">
        <v>182</v>
      </c>
      <c r="F450" s="300"/>
      <c r="G450" s="296" t="s">
        <v>256</v>
      </c>
      <c r="H450" s="300"/>
      <c r="I450" s="296" t="s">
        <v>1196</v>
      </c>
      <c r="J450" s="316"/>
      <c r="K450" s="318"/>
      <c r="L450" s="138"/>
      <c r="M450" s="138"/>
      <c r="N450" s="138"/>
      <c r="O450" s="138"/>
      <c r="P450" s="138"/>
      <c r="Q450" s="138"/>
      <c r="R450" s="138"/>
      <c r="S450" s="138"/>
      <c r="T450" s="138"/>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BB450" s="138"/>
      <c r="BC450" s="138"/>
      <c r="BD450" s="138"/>
      <c r="BE450" s="138"/>
      <c r="BF450" s="138"/>
      <c r="BG450" s="138"/>
      <c r="BH450" s="138"/>
      <c r="BI450" s="138"/>
    </row>
    <row r="451" spans="1:61" ht="15" customHeight="1">
      <c r="A451" s="138"/>
      <c r="B451" s="300"/>
      <c r="C451" s="284" t="str">
        <f>IF(Tool!$H$7="Français",G451,IF(Tool!$H$7="Italiano",I451,E451))</f>
        <v>Elektrizität in Gebäuden − Beleuchtung: Berechnung und Anforderungen</v>
      </c>
      <c r="D451" s="300"/>
      <c r="E451" s="296" t="s">
        <v>1205</v>
      </c>
      <c r="F451" s="300"/>
      <c r="G451" s="296" t="s">
        <v>1204</v>
      </c>
      <c r="H451" s="300"/>
      <c r="I451" s="296" t="s">
        <v>1202</v>
      </c>
      <c r="J451" s="361"/>
      <c r="K451" s="318"/>
      <c r="L451" s="138"/>
      <c r="M451" s="138"/>
      <c r="N451" s="138"/>
      <c r="O451" s="138"/>
      <c r="P451" s="138"/>
      <c r="Q451" s="138"/>
      <c r="R451" s="138"/>
      <c r="S451" s="138"/>
      <c r="T451" s="138"/>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BB451" s="138"/>
      <c r="BC451" s="138"/>
      <c r="BD451" s="138"/>
      <c r="BE451" s="138"/>
      <c r="BF451" s="138"/>
      <c r="BG451" s="138"/>
      <c r="BH451" s="138"/>
      <c r="BI451" s="138"/>
    </row>
    <row r="452" spans="1:61" ht="15" customHeight="1">
      <c r="A452" s="138"/>
      <c r="B452" s="300"/>
      <c r="C452" s="284" t="str">
        <f>IF(Tool!$H$7="Français",G452,IF(Tool!$H$7="Italiano",I452,E452))</f>
        <v>SIA Norm 387/4</v>
      </c>
      <c r="D452" s="300"/>
      <c r="E452" s="296" t="s">
        <v>1197</v>
      </c>
      <c r="F452" s="300"/>
      <c r="G452" s="296" t="s">
        <v>1198</v>
      </c>
      <c r="H452" s="300"/>
      <c r="I452" s="296" t="s">
        <v>1199</v>
      </c>
      <c r="J452" s="361"/>
      <c r="K452" s="318"/>
      <c r="L452" s="138"/>
      <c r="M452" s="138"/>
      <c r="N452" s="138"/>
      <c r="O452" s="138"/>
      <c r="P452" s="138"/>
      <c r="Q452" s="138"/>
      <c r="R452" s="138"/>
      <c r="S452" s="138"/>
      <c r="T452" s="138"/>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BB452" s="138"/>
      <c r="BC452" s="138"/>
      <c r="BD452" s="138"/>
      <c r="BE452" s="138"/>
      <c r="BF452" s="138"/>
      <c r="BG452" s="138"/>
      <c r="BH452" s="138"/>
      <c r="BI452" s="138"/>
    </row>
    <row r="453" spans="1:61" ht="15" customHeight="1">
      <c r="A453" s="138"/>
      <c r="B453" s="300"/>
      <c r="C453" s="284" t="str">
        <f>IF(Tool!$H$7="Français",G453,IF(Tool!$H$7="Italiano",I453,E453))</f>
        <v>Klimatisierte Gebäude − Leistungs- und Energiebedarf</v>
      </c>
      <c r="D453" s="300"/>
      <c r="E453" s="296" t="s">
        <v>1200</v>
      </c>
      <c r="F453" s="300"/>
      <c r="G453" s="296" t="s">
        <v>1203</v>
      </c>
      <c r="H453" s="300"/>
      <c r="I453" s="296" t="s">
        <v>1201</v>
      </c>
      <c r="J453" s="361"/>
      <c r="K453" s="318"/>
      <c r="L453" s="138"/>
      <c r="M453" s="138"/>
      <c r="N453" s="138"/>
      <c r="O453" s="138"/>
      <c r="P453" s="138"/>
      <c r="Q453" s="138"/>
      <c r="R453" s="138"/>
      <c r="S453" s="138"/>
      <c r="T453" s="138"/>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BB453" s="138"/>
      <c r="BC453" s="138"/>
      <c r="BD453" s="138"/>
      <c r="BE453" s="138"/>
      <c r="BF453" s="138"/>
      <c r="BG453" s="138"/>
      <c r="BH453" s="138"/>
      <c r="BI453" s="138"/>
    </row>
    <row r="454" spans="1:61" ht="15" customHeight="1">
      <c r="A454" s="138"/>
      <c r="B454" s="300"/>
      <c r="C454" s="284" t="str">
        <f>IF(Tool!$H$7="Français",G454,IF(Tool!$H$7="Italiano",I454,E454))</f>
        <v>SIA Norm 382/2</v>
      </c>
      <c r="D454" s="300"/>
      <c r="E454" s="296" t="s">
        <v>186</v>
      </c>
      <c r="F454" s="300"/>
      <c r="G454" s="296" t="s">
        <v>1537</v>
      </c>
      <c r="H454" s="300"/>
      <c r="I454" s="296" t="s">
        <v>1538</v>
      </c>
      <c r="J454" s="361"/>
      <c r="K454" s="318"/>
      <c r="L454" s="138"/>
      <c r="M454" s="138"/>
      <c r="N454" s="138"/>
      <c r="O454" s="138"/>
      <c r="P454" s="138"/>
      <c r="Q454" s="138"/>
      <c r="R454" s="138"/>
      <c r="S454" s="138"/>
      <c r="T454" s="138"/>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BB454" s="138"/>
      <c r="BC454" s="138"/>
      <c r="BD454" s="138"/>
      <c r="BE454" s="138"/>
      <c r="BF454" s="138"/>
      <c r="BG454" s="138"/>
      <c r="BH454" s="138"/>
      <c r="BI454" s="138"/>
    </row>
    <row r="455" spans="1:61" ht="15" customHeight="1">
      <c r="A455" s="290"/>
      <c r="B455" s="300"/>
      <c r="C455" s="284" t="str">
        <f>IF(Tool!$H$7="Français",G455,IF(Tool!$H$7="Italiano",I455,E455))</f>
        <v>Entwässerung von Baustellen</v>
      </c>
      <c r="D455" s="300"/>
      <c r="E455" s="296" t="s">
        <v>195</v>
      </c>
      <c r="F455" s="300"/>
      <c r="G455" s="296" t="s">
        <v>257</v>
      </c>
      <c r="H455" s="300"/>
      <c r="I455" s="296" t="s">
        <v>1206</v>
      </c>
      <c r="J455" s="361"/>
      <c r="K455" s="318"/>
      <c r="L455" s="138"/>
      <c r="M455" s="138"/>
      <c r="N455" s="138"/>
      <c r="O455" s="138"/>
      <c r="P455" s="138"/>
      <c r="Q455" s="138"/>
      <c r="R455" s="138"/>
      <c r="S455" s="138"/>
      <c r="T455" s="138"/>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BB455" s="138"/>
      <c r="BC455" s="138"/>
      <c r="BD455" s="138"/>
      <c r="BE455" s="138"/>
      <c r="BF455" s="138"/>
      <c r="BG455" s="138"/>
      <c r="BH455" s="138"/>
      <c r="BI455" s="138"/>
    </row>
    <row r="456" spans="1:61" ht="15" customHeight="1">
      <c r="A456" s="138"/>
      <c r="B456" s="300"/>
      <c r="C456" s="284" t="str">
        <f>IF(Tool!$H$7="Français",G456,IF(Tool!$H$7="Italiano",I456,E456))</f>
        <v>SIA Norm 431</v>
      </c>
      <c r="D456" s="300"/>
      <c r="E456" s="296" t="s">
        <v>194</v>
      </c>
      <c r="F456" s="300"/>
      <c r="G456" s="296" t="s">
        <v>258</v>
      </c>
      <c r="H456" s="300"/>
      <c r="I456" s="296" t="s">
        <v>1207</v>
      </c>
      <c r="J456" s="361"/>
      <c r="K456" s="318"/>
      <c r="L456" s="138"/>
      <c r="M456" s="138"/>
      <c r="N456" s="138"/>
      <c r="O456" s="138"/>
      <c r="P456" s="138"/>
      <c r="Q456" s="138"/>
      <c r="R456" s="138"/>
      <c r="S456" s="138"/>
      <c r="T456" s="138"/>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BB456" s="138"/>
      <c r="BC456" s="138"/>
      <c r="BD456" s="138"/>
      <c r="BE456" s="138"/>
      <c r="BF456" s="138"/>
      <c r="BG456" s="138"/>
      <c r="BH456" s="138"/>
      <c r="BI456" s="138"/>
    </row>
    <row r="457" spans="1:61" ht="15" customHeight="1">
      <c r="A457" s="138"/>
      <c r="B457" s="300"/>
      <c r="C457" s="284" t="str">
        <f>IF(Tool!$H$7="Français",G457,IF(Tool!$H$7="Italiano",I457,E457))</f>
        <v>Hindernisfreies Bauen</v>
      </c>
      <c r="D457" s="300"/>
      <c r="E457" s="296" t="s">
        <v>181</v>
      </c>
      <c r="F457" s="300"/>
      <c r="G457" s="296" t="s">
        <v>259</v>
      </c>
      <c r="H457" s="300"/>
      <c r="I457" s="296" t="s">
        <v>1209</v>
      </c>
      <c r="J457" s="361"/>
      <c r="K457" s="290"/>
      <c r="L457" s="138"/>
      <c r="M457" s="138"/>
      <c r="N457" s="138"/>
      <c r="O457" s="138"/>
      <c r="P457" s="138"/>
      <c r="Q457" s="138"/>
      <c r="R457" s="138"/>
      <c r="S457" s="138"/>
      <c r="T457" s="138"/>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BB457" s="138"/>
      <c r="BC457" s="138"/>
      <c r="BD457" s="138"/>
      <c r="BE457" s="138"/>
      <c r="BF457" s="138"/>
      <c r="BG457" s="138"/>
      <c r="BH457" s="138"/>
      <c r="BI457" s="138"/>
    </row>
    <row r="458" spans="1:61" ht="15" customHeight="1">
      <c r="A458" s="138"/>
      <c r="B458" s="300"/>
      <c r="C458" s="284" t="str">
        <f>IF(Tool!$H$7="Français",G458,IF(Tool!$H$7="Italiano",I458,E458))</f>
        <v>SIA Norm 500</v>
      </c>
      <c r="D458" s="300"/>
      <c r="E458" s="296" t="s">
        <v>180</v>
      </c>
      <c r="F458" s="300"/>
      <c r="G458" s="296" t="s">
        <v>260</v>
      </c>
      <c r="H458" s="300"/>
      <c r="I458" s="296" t="s">
        <v>1208</v>
      </c>
      <c r="J458" s="361"/>
      <c r="K458" s="318"/>
      <c r="L458" s="138"/>
      <c r="M458" s="138"/>
      <c r="N458" s="138"/>
      <c r="O458" s="138"/>
      <c r="P458" s="138"/>
      <c r="Q458" s="138"/>
      <c r="R458" s="138"/>
      <c r="S458" s="138"/>
      <c r="T458" s="138"/>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BB458" s="138"/>
      <c r="BC458" s="138"/>
      <c r="BD458" s="138"/>
      <c r="BE458" s="138"/>
      <c r="BF458" s="138"/>
      <c r="BG458" s="138"/>
      <c r="BH458" s="138"/>
      <c r="BI458" s="138"/>
    </row>
    <row r="459" spans="1:61" ht="15" customHeight="1">
      <c r="A459" s="138"/>
      <c r="B459" s="300"/>
      <c r="C459" s="284" t="str">
        <f>IF(Tool!$H$7="Français",G459,IF(Tool!$H$7="Italiano",I459,E459))</f>
        <v>Graue Energie − Ökobilanzierung für die Erstellung von Gebäuden</v>
      </c>
      <c r="D459" s="300"/>
      <c r="E459" s="296" t="s">
        <v>1210</v>
      </c>
      <c r="F459" s="300"/>
      <c r="G459" s="296" t="s">
        <v>1211</v>
      </c>
      <c r="H459" s="300"/>
      <c r="I459" s="296" t="s">
        <v>1212</v>
      </c>
      <c r="J459" s="361"/>
      <c r="K459" s="318"/>
      <c r="L459" s="138"/>
      <c r="M459" s="138"/>
      <c r="N459" s="138"/>
      <c r="O459" s="138"/>
      <c r="P459" s="138"/>
      <c r="Q459" s="138"/>
      <c r="R459" s="138"/>
      <c r="S459" s="138"/>
      <c r="T459" s="138"/>
      <c r="U459" s="138"/>
      <c r="V459" s="138"/>
      <c r="W459" s="138"/>
      <c r="X459" s="138"/>
      <c r="Y459" s="138"/>
      <c r="Z459" s="138"/>
      <c r="AA459" s="138"/>
      <c r="AB459" s="138"/>
      <c r="AC459" s="138"/>
      <c r="AD459" s="138"/>
      <c r="AE459" s="138"/>
      <c r="AF459" s="138"/>
      <c r="AG459" s="138"/>
      <c r="AH459" s="138"/>
      <c r="AI459" s="138"/>
      <c r="AJ459" s="138"/>
      <c r="AK459" s="138"/>
      <c r="AL459" s="138"/>
      <c r="AM459" s="138"/>
      <c r="AN459" s="138"/>
      <c r="AO459" s="138"/>
      <c r="AP459" s="138"/>
      <c r="AQ459" s="138"/>
      <c r="AR459" s="138"/>
      <c r="AS459" s="138"/>
      <c r="AT459" s="138"/>
      <c r="AU459" s="138"/>
      <c r="AV459" s="138"/>
      <c r="AW459" s="138"/>
      <c r="AX459" s="138"/>
      <c r="AY459" s="138"/>
      <c r="BB459" s="138"/>
      <c r="BC459" s="138"/>
      <c r="BD459" s="138"/>
      <c r="BE459" s="138"/>
      <c r="BF459" s="138"/>
      <c r="BG459" s="138"/>
      <c r="BH459" s="138"/>
      <c r="BI459" s="138"/>
    </row>
    <row r="460" spans="1:61" ht="15" customHeight="1">
      <c r="A460" s="138"/>
      <c r="B460" s="300"/>
      <c r="C460" s="284" t="str">
        <f>IF(Tool!$H$7="Français",G460,IF(Tool!$H$7="Italiano",I460,E460))</f>
        <v>SIA Merkblatt 2032</v>
      </c>
      <c r="D460" s="300"/>
      <c r="E460" s="296" t="s">
        <v>184</v>
      </c>
      <c r="F460" s="300"/>
      <c r="G460" s="296" t="s">
        <v>261</v>
      </c>
      <c r="H460" s="300"/>
      <c r="I460" s="296" t="s">
        <v>1215</v>
      </c>
      <c r="J460" s="361"/>
      <c r="K460" s="138"/>
      <c r="L460" s="138"/>
      <c r="M460" s="138"/>
      <c r="N460" s="138"/>
      <c r="O460" s="138"/>
      <c r="P460" s="138"/>
      <c r="Q460" s="138"/>
      <c r="R460" s="138"/>
      <c r="S460" s="138"/>
      <c r="T460" s="138"/>
      <c r="U460" s="138"/>
      <c r="V460" s="138"/>
      <c r="W460" s="138"/>
      <c r="X460" s="138"/>
      <c r="Y460" s="138"/>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BB460" s="138"/>
      <c r="BC460" s="138"/>
      <c r="BD460" s="138"/>
      <c r="BE460" s="138"/>
      <c r="BF460" s="138"/>
      <c r="BG460" s="138"/>
      <c r="BH460" s="138"/>
      <c r="BI460" s="138"/>
    </row>
    <row r="461" spans="1:61" ht="15" customHeight="1">
      <c r="A461" s="138"/>
      <c r="B461" s="300"/>
      <c r="C461" s="284" t="str">
        <f>IF(Tool!$H$7="Français",G461,IF(Tool!$H$7="Italiano",I461,E461))</f>
        <v>SIA-Effizienzpfad Energie</v>
      </c>
      <c r="D461" s="300"/>
      <c r="E461" s="296" t="s">
        <v>1213</v>
      </c>
      <c r="F461" s="300"/>
      <c r="G461" s="296" t="s">
        <v>263</v>
      </c>
      <c r="H461" s="300"/>
      <c r="I461" s="296" t="s">
        <v>1214</v>
      </c>
      <c r="J461" s="361"/>
      <c r="K461" s="138"/>
      <c r="L461" s="138"/>
      <c r="M461" s="138"/>
      <c r="N461" s="138"/>
      <c r="O461" s="138"/>
      <c r="P461" s="138"/>
      <c r="Q461" s="138"/>
      <c r="R461" s="138"/>
      <c r="S461" s="138"/>
      <c r="T461" s="138"/>
      <c r="U461" s="138"/>
      <c r="V461" s="138"/>
      <c r="W461" s="138"/>
      <c r="X461" s="138"/>
      <c r="Y461" s="138"/>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BB461" s="138"/>
      <c r="BC461" s="138"/>
      <c r="BD461" s="138"/>
      <c r="BE461" s="138"/>
      <c r="BF461" s="138"/>
      <c r="BG461" s="138"/>
      <c r="BH461" s="138"/>
      <c r="BI461" s="138"/>
    </row>
    <row r="462" spans="1:61" ht="15" customHeight="1">
      <c r="A462" s="138"/>
      <c r="B462" s="301"/>
      <c r="C462" s="284" t="str">
        <f>IF(Tool!$H$7="Français",G462,IF(Tool!$H$7="Italiano",I462,E462))</f>
        <v>SIA Merkblatt 2040</v>
      </c>
      <c r="D462" s="301"/>
      <c r="E462" s="298" t="s">
        <v>185</v>
      </c>
      <c r="F462" s="301"/>
      <c r="G462" s="298" t="s">
        <v>262</v>
      </c>
      <c r="H462" s="301"/>
      <c r="I462" s="298" t="s">
        <v>1216</v>
      </c>
      <c r="J462" s="361"/>
      <c r="K462" s="138"/>
      <c r="L462" s="138"/>
      <c r="M462" s="138"/>
      <c r="N462" s="138"/>
      <c r="O462" s="138"/>
      <c r="P462" s="138"/>
      <c r="Q462" s="138"/>
      <c r="R462" s="138"/>
      <c r="S462" s="138"/>
      <c r="T462" s="138"/>
      <c r="U462" s="138"/>
      <c r="V462" s="138"/>
      <c r="W462" s="138"/>
      <c r="X462" s="138"/>
      <c r="Y462" s="138"/>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BB462" s="138"/>
      <c r="BC462" s="138"/>
      <c r="BD462" s="138"/>
      <c r="BE462" s="138"/>
      <c r="BF462" s="138"/>
      <c r="BG462" s="138"/>
      <c r="BH462" s="138"/>
      <c r="BI462" s="138"/>
    </row>
    <row r="463" spans="1:61" ht="15" customHeight="1">
      <c r="A463" s="138"/>
      <c r="B463" s="463">
        <v>3</v>
      </c>
      <c r="C463" s="869" t="str">
        <f>IF(Tool!$H$7="Français",G463,IF(Tool!$H$7="Italiano",I463,E463))</f>
        <v xml:space="preserve">Durchgängigkeit des SNBS und Minergie® </v>
      </c>
      <c r="D463" s="463">
        <v>3</v>
      </c>
      <c r="E463" s="332" t="s">
        <v>1217</v>
      </c>
      <c r="F463" s="463">
        <v>3</v>
      </c>
      <c r="G463" s="332" t="s">
        <v>1916</v>
      </c>
      <c r="H463" s="463"/>
      <c r="I463" s="332" t="s">
        <v>1218</v>
      </c>
      <c r="J463" s="361"/>
      <c r="K463" s="358"/>
      <c r="L463" s="358"/>
      <c r="M463" s="138"/>
      <c r="N463" s="138"/>
      <c r="O463" s="138"/>
      <c r="P463" s="138"/>
      <c r="Q463" s="138"/>
      <c r="R463" s="138"/>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BB463" s="138"/>
      <c r="BC463" s="138"/>
      <c r="BD463" s="138"/>
      <c r="BE463" s="138"/>
      <c r="BF463" s="138"/>
      <c r="BG463" s="138"/>
      <c r="BH463" s="138"/>
      <c r="BI463" s="138"/>
    </row>
    <row r="464" spans="1:61" ht="15" customHeight="1">
      <c r="A464" s="138"/>
      <c r="B464" s="302"/>
      <c r="C464" s="284" t="str">
        <f>IF(Tool!$H$7="Français",G464,IF(Tool!$H$7="Italiano",I464,E464))</f>
        <v>Mit dem SNBS 2023.1 wird die Labelfamilie des Bundesamts für Energie (GEAK und Minergie (-ECO)) gestärkt. Wenn bei Kriterien Anforderungen und Ziele dieser Label bestehen, werden diese im SNBS 2023.1 aufgenommen. Doppel- und Mehrfachzertifizierungen werden als Nachweise anerkannt, der Zusatzaufwand wird reduziert.</v>
      </c>
      <c r="D464" s="302"/>
      <c r="E464" s="296" t="s">
        <v>1226</v>
      </c>
      <c r="F464" s="302"/>
      <c r="G464" s="296" t="s">
        <v>1225</v>
      </c>
      <c r="H464" s="302"/>
      <c r="I464" s="296" t="s">
        <v>1894</v>
      </c>
      <c r="J464" s="361"/>
      <c r="K464" s="138"/>
      <c r="L464" s="138"/>
      <c r="M464" s="138"/>
      <c r="N464" s="138"/>
      <c r="O464" s="138"/>
      <c r="P464" s="138"/>
      <c r="Q464" s="138"/>
      <c r="R464" s="138"/>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BB464" s="138"/>
      <c r="BC464" s="138"/>
      <c r="BD464" s="138"/>
      <c r="BE464" s="138"/>
      <c r="BF464" s="138"/>
      <c r="BG464" s="138"/>
      <c r="BH464" s="138"/>
      <c r="BI464" s="138"/>
    </row>
    <row r="465" spans="1:61" ht="15" customHeight="1">
      <c r="A465" s="138"/>
      <c r="B465" s="302"/>
      <c r="C465" s="284" t="str">
        <f>IF(Tool!$H$7="Français",G465,IF(Tool!$H$7="Italiano",I465,E465))</f>
        <v>Bei ''Minergie''-Kriterien wird wie folgt eine Note automatisch vergeben:</v>
      </c>
      <c r="D465" s="302"/>
      <c r="E465" s="296" t="s">
        <v>1667</v>
      </c>
      <c r="F465" s="302"/>
      <c r="G465" s="296" t="s">
        <v>1233</v>
      </c>
      <c r="H465" s="302"/>
      <c r="I465" s="296" t="s">
        <v>1229</v>
      </c>
      <c r="J465" s="316"/>
      <c r="K465" s="138"/>
      <c r="L465" s="138"/>
      <c r="M465" s="358"/>
      <c r="N465" s="138"/>
      <c r="O465" s="138"/>
      <c r="P465" s="138"/>
      <c r="Q465" s="138"/>
      <c r="R465" s="138"/>
      <c r="S465" s="138"/>
      <c r="T465" s="138"/>
      <c r="U465" s="138"/>
      <c r="V465" s="138"/>
      <c r="W465" s="138"/>
      <c r="X465" s="138"/>
      <c r="Y465" s="138"/>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BB465" s="138"/>
      <c r="BC465" s="138"/>
      <c r="BD465" s="138"/>
      <c r="BE465" s="138"/>
      <c r="BF465" s="138"/>
      <c r="BG465" s="138"/>
      <c r="BH465" s="138"/>
      <c r="BI465" s="138"/>
    </row>
    <row r="466" spans="1:61" ht="15" customHeight="1">
      <c r="A466" s="138"/>
      <c r="B466" s="302"/>
      <c r="C466" s="284" t="str">
        <f>IF(Tool!$H$7="Français",G466,IF(Tool!$H$7="Italiano",I466,E466))</f>
        <v>Minergie</v>
      </c>
      <c r="D466" s="302"/>
      <c r="E466" s="296" t="s">
        <v>342</v>
      </c>
      <c r="F466" s="302"/>
      <c r="G466" s="296" t="s">
        <v>342</v>
      </c>
      <c r="H466" s="302"/>
      <c r="I466" s="296" t="s">
        <v>342</v>
      </c>
      <c r="J466" s="316"/>
      <c r="K466" s="138"/>
      <c r="L466" s="138"/>
      <c r="M466" s="138"/>
      <c r="N466" s="138"/>
      <c r="O466" s="138"/>
      <c r="P466" s="138"/>
      <c r="Q466" s="138"/>
      <c r="R466" s="138"/>
      <c r="S466" s="138"/>
      <c r="T466" s="138"/>
      <c r="U466" s="138"/>
      <c r="V466" s="138"/>
      <c r="W466" s="138"/>
      <c r="X466" s="138"/>
      <c r="Y466" s="138"/>
      <c r="Z466" s="138"/>
      <c r="AA466" s="138"/>
      <c r="AB466" s="138"/>
      <c r="AC466" s="138"/>
      <c r="AD466" s="138"/>
      <c r="AE466" s="138"/>
      <c r="AF466" s="138"/>
      <c r="AG466" s="138"/>
      <c r="AH466" s="138"/>
      <c r="AI466" s="138"/>
      <c r="AJ466" s="138"/>
      <c r="AK466" s="138"/>
      <c r="AL466" s="138"/>
      <c r="AM466" s="138"/>
      <c r="AN466" s="138"/>
      <c r="AO466" s="138"/>
      <c r="AP466" s="138"/>
      <c r="AQ466" s="138"/>
      <c r="AR466" s="138"/>
      <c r="AS466" s="138"/>
      <c r="AT466" s="138"/>
      <c r="AU466" s="138"/>
      <c r="AV466" s="138"/>
      <c r="AW466" s="138"/>
      <c r="AX466" s="138"/>
      <c r="AY466" s="138"/>
      <c r="BB466" s="138"/>
      <c r="BC466" s="138"/>
      <c r="BD466" s="138"/>
      <c r="BE466" s="138"/>
      <c r="BF466" s="138"/>
      <c r="BG466" s="138"/>
      <c r="BH466" s="138"/>
      <c r="BI466" s="138"/>
    </row>
    <row r="467" spans="1:61" ht="15" customHeight="1">
      <c r="A467" s="138"/>
      <c r="B467" s="302"/>
      <c r="C467" s="284" t="str">
        <f>IF(Tool!$H$7="Français",G467,IF(Tool!$H$7="Italiano",I467,E467))</f>
        <v>Minergie A</v>
      </c>
      <c r="D467" s="302"/>
      <c r="E467" s="296" t="s">
        <v>343</v>
      </c>
      <c r="F467" s="302"/>
      <c r="G467" s="296" t="s">
        <v>343</v>
      </c>
      <c r="H467" s="302"/>
      <c r="I467" s="296" t="s">
        <v>343</v>
      </c>
      <c r="J467" s="361"/>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BB467" s="138"/>
      <c r="BC467" s="138"/>
      <c r="BD467" s="138"/>
      <c r="BE467" s="138"/>
      <c r="BF467" s="138"/>
      <c r="BG467" s="138"/>
      <c r="BH467" s="138"/>
      <c r="BI467" s="138"/>
    </row>
    <row r="468" spans="1:61" ht="15" customHeight="1">
      <c r="A468" s="138"/>
      <c r="B468" s="302"/>
      <c r="C468" s="284" t="str">
        <f>IF(Tool!$H$7="Français",G468,IF(Tool!$H$7="Italiano",I468,E468))</f>
        <v>Minergie P</v>
      </c>
      <c r="D468" s="302"/>
      <c r="E468" s="296" t="s">
        <v>344</v>
      </c>
      <c r="F468" s="302"/>
      <c r="G468" s="296" t="s">
        <v>344</v>
      </c>
      <c r="H468" s="302"/>
      <c r="I468" s="296" t="s">
        <v>344</v>
      </c>
      <c r="J468" s="316"/>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BB468" s="138"/>
      <c r="BC468" s="138"/>
      <c r="BD468" s="138"/>
      <c r="BE468" s="138"/>
      <c r="BF468" s="138"/>
      <c r="BG468" s="138"/>
      <c r="BH468" s="138"/>
      <c r="BI468" s="138"/>
    </row>
    <row r="469" spans="1:61" ht="15" customHeight="1">
      <c r="A469" s="138"/>
      <c r="B469" s="302"/>
      <c r="C469" s="284" t="str">
        <f>IF(Tool!$H$7="Français",G469,IF(Tool!$H$7="Italiano",I469,E469))</f>
        <v>In folgenden Kriterien werden ECO-Anforderungen direkt übernommen:</v>
      </c>
      <c r="D469" s="302"/>
      <c r="E469" s="296" t="s">
        <v>1227</v>
      </c>
      <c r="F469" s="302"/>
      <c r="G469" s="296" t="s">
        <v>1228</v>
      </c>
      <c r="H469" s="302"/>
      <c r="I469" s="296" t="s">
        <v>1230</v>
      </c>
      <c r="J469" s="361"/>
      <c r="K469" s="138"/>
      <c r="L469" s="138"/>
      <c r="M469" s="138"/>
      <c r="N469" s="138"/>
      <c r="O469" s="138"/>
      <c r="P469" s="138"/>
      <c r="Q469" s="138"/>
      <c r="R469" s="138"/>
      <c r="S469" s="138"/>
      <c r="T469" s="138"/>
      <c r="U469" s="138"/>
      <c r="V469" s="138"/>
      <c r="W469" s="138"/>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BB469" s="138"/>
      <c r="BC469" s="138"/>
      <c r="BD469" s="138"/>
      <c r="BE469" s="138"/>
      <c r="BF469" s="138"/>
      <c r="BG469" s="138"/>
      <c r="BH469" s="138"/>
      <c r="BI469" s="138"/>
    </row>
    <row r="470" spans="1:61" ht="15" customHeight="1">
      <c r="A470" s="138"/>
      <c r="B470" s="302"/>
      <c r="C470" s="284" t="str">
        <f>IF(Tool!$H$7="Français",G470,IF(Tool!$H$7="Italiano",I470,E470))</f>
        <v>Bei den Kriterien 146, 311 und 321 stellt Minergie ECO weiterführende Dokumente unter folgender Adresse zur Verfügung:</v>
      </c>
      <c r="D470" s="302"/>
      <c r="E470" s="296" t="s">
        <v>1564</v>
      </c>
      <c r="F470" s="302"/>
      <c r="G470" s="296" t="s">
        <v>1562</v>
      </c>
      <c r="H470" s="302"/>
      <c r="I470" s="296" t="s">
        <v>1565</v>
      </c>
      <c r="J470" s="361"/>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BB470" s="138"/>
      <c r="BC470" s="138"/>
      <c r="BD470" s="138"/>
      <c r="BE470" s="138"/>
      <c r="BF470" s="138"/>
      <c r="BG470" s="138"/>
      <c r="BH470" s="138"/>
      <c r="BI470" s="138"/>
    </row>
    <row r="471" spans="1:61" ht="15" customHeight="1">
      <c r="A471" s="138"/>
      <c r="B471" s="302"/>
      <c r="C471" s="284" t="str">
        <f>IF(Tool!$H$7="Français",G471,IF(Tool!$H$7="Italiano",I471,E471))</f>
        <v>Bei allen SNBS-Messgrössen, die auf Minergie-ECO verweisen, wird die 20/80-Regel gemäss Vorgabenkatalog von Minergie-ECO übernommen. Bei allen übrigen Messgrössen müssen die Anforderungen zu 100 % umgesetzt werden, um als «vollständig umgesetzt» zu gelten.</v>
      </c>
      <c r="D471" s="302"/>
      <c r="E471" s="296" t="s">
        <v>1563</v>
      </c>
      <c r="F471" s="302"/>
      <c r="G471" s="296" t="s">
        <v>1566</v>
      </c>
      <c r="H471" s="302"/>
      <c r="I471" s="296" t="s">
        <v>1896</v>
      </c>
      <c r="J471" s="316"/>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BB471" s="138"/>
      <c r="BC471" s="138"/>
      <c r="BD471" s="138"/>
      <c r="BE471" s="138"/>
      <c r="BF471" s="138"/>
      <c r="BG471" s="138"/>
      <c r="BH471" s="138"/>
      <c r="BI471" s="138"/>
    </row>
    <row r="472" spans="1:61" ht="15" customHeight="1">
      <c r="A472" s="138"/>
      <c r="B472" s="302"/>
      <c r="C472" s="284" t="str">
        <f>IF(Tool!$H$7="Français",G472,IF(Tool!$H$7="Italiano",I472,E472))</f>
        <v>Messgrössen 1, 2, 5, 7</v>
      </c>
      <c r="D472" s="302"/>
      <c r="E472" s="296" t="s">
        <v>346</v>
      </c>
      <c r="F472" s="302"/>
      <c r="G472" s="296" t="s">
        <v>345</v>
      </c>
      <c r="H472" s="302"/>
      <c r="I472" s="296" t="s">
        <v>1231</v>
      </c>
      <c r="J472" s="361"/>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BB472" s="138"/>
      <c r="BC472" s="138"/>
      <c r="BD472" s="138"/>
      <c r="BE472" s="138"/>
      <c r="BF472" s="138"/>
      <c r="BG472" s="138"/>
      <c r="BH472" s="138"/>
      <c r="BI472" s="138"/>
    </row>
    <row r="473" spans="1:61" ht="15" customHeight="1">
      <c r="A473" s="138"/>
      <c r="B473" s="303"/>
      <c r="C473" s="284" t="str">
        <f>IF(Tool!$H$7="Français",G473,IF(Tool!$H$7="Italiano",I473,E473))</f>
        <v>Bei der Bewertung des Tageslichts und der Graue Energie stellt Minergie ECO weiterführende Dokumente unter folgender Adresse zur Verfügung.</v>
      </c>
      <c r="D473" s="303"/>
      <c r="E473" s="298" t="s">
        <v>353</v>
      </c>
      <c r="F473" s="303"/>
      <c r="G473" s="298" t="s">
        <v>383</v>
      </c>
      <c r="H473" s="303"/>
      <c r="I473" s="298" t="s">
        <v>1232</v>
      </c>
      <c r="J473" s="361"/>
      <c r="K473" s="138"/>
      <c r="L473" s="138"/>
      <c r="M473" s="138"/>
      <c r="N473" s="138"/>
      <c r="O473" s="138"/>
      <c r="P473" s="138"/>
      <c r="Q473" s="138"/>
      <c r="R473" s="138"/>
      <c r="S473" s="138"/>
      <c r="T473" s="138"/>
      <c r="U473" s="138"/>
      <c r="V473" s="138"/>
      <c r="W473" s="138"/>
      <c r="X473" s="138"/>
      <c r="Y473" s="138"/>
      <c r="Z473" s="138"/>
      <c r="AA473" s="138"/>
      <c r="AB473" s="138"/>
      <c r="AC473" s="138"/>
      <c r="AD473" s="138"/>
      <c r="AE473" s="138"/>
      <c r="AF473" s="138"/>
      <c r="AG473" s="138"/>
      <c r="AH473" s="138"/>
      <c r="AI473" s="138"/>
      <c r="AJ473" s="138"/>
      <c r="AK473" s="138"/>
      <c r="AL473" s="138"/>
      <c r="AM473" s="138"/>
      <c r="AN473" s="138"/>
      <c r="AO473" s="138"/>
      <c r="AP473" s="138"/>
      <c r="AQ473" s="138"/>
      <c r="AR473" s="138"/>
      <c r="AS473" s="138"/>
      <c r="AT473" s="138"/>
      <c r="AU473" s="138"/>
      <c r="AV473" s="138"/>
      <c r="AW473" s="138"/>
      <c r="AX473" s="138"/>
      <c r="AY473" s="138"/>
      <c r="BB473" s="138"/>
      <c r="BC473" s="138"/>
      <c r="BD473" s="138"/>
      <c r="BE473" s="138"/>
      <c r="BF473" s="138"/>
      <c r="BG473" s="138"/>
      <c r="BH473" s="138"/>
      <c r="BI473" s="138"/>
    </row>
    <row r="474" spans="1:61" ht="15" customHeight="1">
      <c r="A474" s="138"/>
      <c r="B474" s="299">
        <v>4</v>
      </c>
      <c r="C474" s="869" t="str">
        <f>IF(Tool!$H$7="Français",G474,IF(Tool!$H$7="Italiano",I474,E474))</f>
        <v>Weitere Grundlagen</v>
      </c>
      <c r="D474" s="299">
        <v>4</v>
      </c>
      <c r="E474" s="332" t="s">
        <v>217</v>
      </c>
      <c r="F474" s="299">
        <v>4</v>
      </c>
      <c r="G474" s="332" t="s">
        <v>284</v>
      </c>
      <c r="H474" s="299"/>
      <c r="I474" s="332" t="s">
        <v>1234</v>
      </c>
      <c r="J474" s="361"/>
      <c r="K474" s="138"/>
      <c r="L474" s="138"/>
      <c r="M474" s="138"/>
      <c r="N474" s="138"/>
      <c r="O474" s="138"/>
      <c r="P474" s="138"/>
      <c r="Q474" s="138"/>
      <c r="R474" s="138"/>
      <c r="S474" s="138"/>
      <c r="T474" s="138"/>
      <c r="U474" s="138"/>
      <c r="V474" s="138"/>
      <c r="W474" s="138"/>
      <c r="X474" s="138"/>
      <c r="Y474" s="138"/>
      <c r="Z474" s="138"/>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BB474" s="138"/>
      <c r="BC474" s="138"/>
      <c r="BD474" s="138"/>
      <c r="BE474" s="138"/>
      <c r="BF474" s="138"/>
      <c r="BG474" s="138"/>
      <c r="BH474" s="138"/>
      <c r="BI474" s="138"/>
    </row>
    <row r="475" spans="1:61" ht="15" customHeight="1">
      <c r="A475" s="138"/>
      <c r="B475" s="300"/>
      <c r="C475" s="284" t="str">
        <f>IF(Tool!$H$7="Français",G475,IF(Tool!$H$7="Italiano",I475,E475))</f>
        <v>Nicht auf SIA oder Minergie aufbauende Normen und Richtlinien finden sich mit dem unten angegebenen Link zu den jeweiligen Webseiten:</v>
      </c>
      <c r="D475" s="300"/>
      <c r="E475" s="296" t="s">
        <v>393</v>
      </c>
      <c r="F475" s="300"/>
      <c r="G475" s="296" t="s">
        <v>365</v>
      </c>
      <c r="H475" s="300"/>
      <c r="I475" s="296" t="s">
        <v>1235</v>
      </c>
      <c r="J475" s="361"/>
      <c r="K475" s="138"/>
      <c r="L475" s="138"/>
      <c r="M475" s="13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BB475" s="138"/>
      <c r="BC475" s="138"/>
      <c r="BD475" s="138"/>
      <c r="BE475" s="138"/>
      <c r="BF475" s="138"/>
      <c r="BG475" s="138"/>
      <c r="BH475" s="138"/>
      <c r="BI475" s="138"/>
    </row>
    <row r="476" spans="1:61" ht="15" customHeight="1">
      <c r="A476" s="138"/>
      <c r="B476" s="300"/>
      <c r="C476" s="284" t="str">
        <f>IF(Tool!$H$7="Français",G476,IF(Tool!$H$7="Italiano",I476,E476))</f>
        <v>SNV Normen</v>
      </c>
      <c r="D476" s="300"/>
      <c r="E476" s="296" t="s">
        <v>189</v>
      </c>
      <c r="F476" s="300"/>
      <c r="G476" s="296" t="s">
        <v>264</v>
      </c>
      <c r="H476" s="300"/>
      <c r="I476" s="296" t="s">
        <v>1236</v>
      </c>
      <c r="J476" s="361"/>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BB476" s="138"/>
      <c r="BC476" s="138"/>
      <c r="BD476" s="138"/>
      <c r="BE476" s="138"/>
      <c r="BF476" s="138"/>
      <c r="BG476" s="138"/>
      <c r="BH476" s="138"/>
      <c r="BI476" s="138"/>
    </row>
    <row r="477" spans="1:61" ht="15" customHeight="1">
      <c r="A477" s="138"/>
      <c r="B477" s="300"/>
      <c r="C477" s="284" t="str">
        <f>IF(Tool!$H$7="Français",G477,IF(Tool!$H$7="Italiano",I477,E477))</f>
        <v>Tageslicht in Gebäuden</v>
      </c>
      <c r="D477" s="300"/>
      <c r="E477" s="296" t="s">
        <v>192</v>
      </c>
      <c r="F477" s="300"/>
      <c r="G477" s="296" t="s">
        <v>265</v>
      </c>
      <c r="H477" s="300"/>
      <c r="I477" s="296" t="s">
        <v>1237</v>
      </c>
      <c r="J477" s="361"/>
      <c r="K477" s="138"/>
      <c r="L477" s="138"/>
      <c r="M477" s="138"/>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BB477" s="138"/>
      <c r="BC477" s="138"/>
      <c r="BD477" s="138"/>
      <c r="BE477" s="138"/>
      <c r="BF477" s="138"/>
      <c r="BG477" s="138"/>
      <c r="BH477" s="138"/>
      <c r="BI477" s="138"/>
    </row>
    <row r="478" spans="1:61" ht="15" customHeight="1">
      <c r="A478" s="138"/>
      <c r="B478" s="300"/>
      <c r="C478" s="284" t="str">
        <f>IF(Tool!$H$7="Français",G478,IF(Tool!$H$7="Italiano",I478,E478))</f>
        <v>SNV Norm SN EN 17037</v>
      </c>
      <c r="D478" s="300"/>
      <c r="E478" s="296" t="s">
        <v>187</v>
      </c>
      <c r="F478" s="300"/>
      <c r="G478" s="296" t="s">
        <v>266</v>
      </c>
      <c r="H478" s="300"/>
      <c r="I478" s="296" t="s">
        <v>1238</v>
      </c>
      <c r="J478" s="361"/>
      <c r="K478" s="138"/>
      <c r="L478" s="138"/>
      <c r="M478" s="138"/>
      <c r="N478" s="138"/>
      <c r="O478" s="138"/>
      <c r="P478" s="138"/>
      <c r="Q478" s="138"/>
      <c r="R478" s="138"/>
      <c r="S478" s="138"/>
      <c r="T478" s="138"/>
      <c r="U478" s="138"/>
      <c r="V478" s="138"/>
      <c r="W478" s="138"/>
      <c r="X478" s="138"/>
      <c r="Y478" s="138"/>
      <c r="Z478" s="138"/>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BB478" s="138"/>
      <c r="BC478" s="138"/>
      <c r="BD478" s="138"/>
      <c r="BE478" s="138"/>
      <c r="BF478" s="138"/>
      <c r="BG478" s="138"/>
      <c r="BH478" s="138"/>
      <c r="BI478" s="138"/>
    </row>
    <row r="479" spans="1:61" ht="15" customHeight="1">
      <c r="A479" s="138"/>
      <c r="B479" s="300"/>
      <c r="C479" s="284" t="str">
        <f>IF(Tool!$H$7="Français",G479,IF(Tool!$H$7="Italiano",I479,E479))</f>
        <v>SUVA Richtlinien</v>
      </c>
      <c r="D479" s="300"/>
      <c r="E479" s="296" t="s">
        <v>190</v>
      </c>
      <c r="F479" s="300"/>
      <c r="G479" s="296" t="s">
        <v>267</v>
      </c>
      <c r="H479" s="300"/>
      <c r="I479" s="296" t="s">
        <v>1239</v>
      </c>
      <c r="J479" s="316"/>
      <c r="K479" s="138"/>
      <c r="L479" s="138"/>
      <c r="M479" s="138"/>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BB479" s="138"/>
      <c r="BC479" s="138"/>
      <c r="BD479" s="138"/>
      <c r="BE479" s="138"/>
      <c r="BF479" s="138"/>
      <c r="BG479" s="138"/>
      <c r="BH479" s="138"/>
      <c r="BI479" s="138"/>
    </row>
    <row r="480" spans="1:61" ht="15" customHeight="1">
      <c r="A480" s="138"/>
      <c r="B480" s="300"/>
      <c r="C480" s="284" t="str">
        <f>IF(Tool!$H$7="Français",G480,IF(Tool!$H$7="Italiano",I480,E480))</f>
        <v>Schallschutz</v>
      </c>
      <c r="D480" s="300"/>
      <c r="E480" s="296" t="s">
        <v>191</v>
      </c>
      <c r="F480" s="300"/>
      <c r="G480" s="296" t="s">
        <v>269</v>
      </c>
      <c r="H480" s="300"/>
      <c r="I480" s="296" t="s">
        <v>1240</v>
      </c>
      <c r="J480" s="316"/>
      <c r="K480" s="138"/>
      <c r="L480" s="138"/>
      <c r="M480" s="138"/>
      <c r="N480" s="138"/>
      <c r="O480" s="138"/>
      <c r="P480" s="138"/>
      <c r="Q480" s="138"/>
      <c r="R480" s="138"/>
      <c r="S480" s="138"/>
      <c r="T480" s="138"/>
      <c r="U480" s="138"/>
      <c r="V480" s="138"/>
      <c r="W480" s="138"/>
      <c r="X480" s="138"/>
      <c r="Y480" s="138"/>
      <c r="Z480" s="138"/>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BB480" s="138"/>
      <c r="BC480" s="138"/>
      <c r="BD480" s="138"/>
      <c r="BE480" s="138"/>
      <c r="BF480" s="138"/>
      <c r="BG480" s="138"/>
      <c r="BH480" s="138"/>
      <c r="BI480" s="138"/>
    </row>
    <row r="481" spans="1:61" ht="15" customHeight="1">
      <c r="A481" s="138"/>
      <c r="B481" s="300"/>
      <c r="C481" s="284" t="str">
        <f>IF(Tool!$H$7="Français",G481,IF(Tool!$H$7="Italiano",I481,E481))</f>
        <v>Akustische Grenz- und Richtwerte</v>
      </c>
      <c r="D481" s="300"/>
      <c r="E481" s="296" t="s">
        <v>188</v>
      </c>
      <c r="F481" s="300"/>
      <c r="G481" s="296" t="s">
        <v>270</v>
      </c>
      <c r="H481" s="300"/>
      <c r="I481" s="296" t="s">
        <v>1241</v>
      </c>
      <c r="J481" s="361"/>
      <c r="K481" s="138"/>
      <c r="L481" s="138"/>
      <c r="M481" s="138"/>
      <c r="N481" s="138"/>
      <c r="O481" s="138"/>
      <c r="P481" s="138"/>
      <c r="Q481" s="138"/>
      <c r="R481" s="138"/>
      <c r="S481" s="138"/>
      <c r="T481" s="138"/>
      <c r="U481" s="138"/>
      <c r="V481" s="138"/>
      <c r="W481" s="138"/>
      <c r="X481" s="138"/>
      <c r="Y481" s="138"/>
      <c r="Z481" s="138"/>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BB481" s="138"/>
      <c r="BC481" s="138"/>
      <c r="BD481" s="138"/>
      <c r="BE481" s="138"/>
      <c r="BF481" s="138"/>
      <c r="BG481" s="138"/>
      <c r="BH481" s="138"/>
      <c r="BI481" s="138"/>
    </row>
    <row r="482" spans="1:61" ht="15" customHeight="1">
      <c r="A482" s="138"/>
      <c r="B482" s="300"/>
      <c r="C482" s="284" t="str">
        <f>IF(Tool!$H$7="Français",G482,IF(Tool!$H$7="Italiano",I482,E482))</f>
        <v>BAFU Richtlinien</v>
      </c>
      <c r="D482" s="300"/>
      <c r="E482" s="296" t="s">
        <v>196</v>
      </c>
      <c r="F482" s="300"/>
      <c r="G482" s="296" t="s">
        <v>268</v>
      </c>
      <c r="H482" s="300"/>
      <c r="I482" s="296" t="s">
        <v>1242</v>
      </c>
      <c r="J482" s="361"/>
      <c r="K482" s="138"/>
      <c r="L482" s="138"/>
      <c r="M482" s="138"/>
      <c r="N482" s="138"/>
      <c r="O482" s="138"/>
      <c r="P482" s="138"/>
      <c r="Q482" s="138"/>
      <c r="R482" s="138"/>
      <c r="S482" s="138"/>
      <c r="T482" s="138"/>
      <c r="U482" s="138"/>
      <c r="V482" s="138"/>
      <c r="W482" s="138"/>
      <c r="X482" s="138"/>
      <c r="Y482" s="138"/>
      <c r="Z482" s="138"/>
      <c r="AA482" s="138"/>
      <c r="AB482" s="138"/>
      <c r="AC482" s="138"/>
      <c r="AD482" s="138"/>
      <c r="AE482" s="138"/>
      <c r="AF482" s="138"/>
      <c r="AG482" s="138"/>
      <c r="AH482" s="138"/>
      <c r="AI482" s="138"/>
      <c r="AJ482" s="138"/>
      <c r="AK482" s="138"/>
      <c r="AL482" s="138"/>
      <c r="AM482" s="138"/>
      <c r="AN482" s="138"/>
      <c r="AO482" s="138"/>
      <c r="AP482" s="138"/>
      <c r="AQ482" s="138"/>
      <c r="AR482" s="138"/>
      <c r="AS482" s="138"/>
      <c r="AT482" s="138"/>
      <c r="AU482" s="138"/>
      <c r="AV482" s="138"/>
      <c r="AW482" s="138"/>
      <c r="AX482" s="138"/>
      <c r="AY482" s="138"/>
      <c r="BB482" s="138"/>
      <c r="BC482" s="138"/>
      <c r="BD482" s="138"/>
      <c r="BE482" s="138"/>
      <c r="BF482" s="138"/>
      <c r="BG482" s="138"/>
      <c r="BH482" s="138"/>
      <c r="BI482" s="138"/>
    </row>
    <row r="483" spans="1:61" ht="15" customHeight="1">
      <c r="A483" s="138"/>
      <c r="B483" s="300"/>
      <c r="C483" s="284" t="str">
        <f>IF(Tool!$H$7="Français",G483,IF(Tool!$H$7="Italiano",I483,E483))</f>
        <v>Umweltbelastung auf der Baustelle</v>
      </c>
      <c r="D483" s="300"/>
      <c r="E483" s="296" t="s">
        <v>395</v>
      </c>
      <c r="F483" s="300"/>
      <c r="G483" s="296" t="s">
        <v>271</v>
      </c>
      <c r="H483" s="300"/>
      <c r="I483" s="296" t="s">
        <v>1243</v>
      </c>
      <c r="J483" s="316"/>
      <c r="K483" s="138"/>
      <c r="L483" s="138"/>
      <c r="M483" s="138"/>
      <c r="N483" s="138"/>
      <c r="O483" s="138"/>
      <c r="P483" s="138"/>
      <c r="Q483" s="138"/>
      <c r="R483" s="138"/>
      <c r="S483" s="138"/>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BB483" s="138"/>
      <c r="BC483" s="138"/>
      <c r="BD483" s="138"/>
      <c r="BE483" s="138"/>
      <c r="BF483" s="138"/>
      <c r="BG483" s="138"/>
      <c r="BH483" s="138"/>
      <c r="BI483" s="138"/>
    </row>
    <row r="484" spans="1:61" ht="15" customHeight="1">
      <c r="A484" s="138"/>
      <c r="B484" s="300"/>
      <c r="C484" s="284" t="str">
        <f>IF(Tool!$H$7="Français",G484,IF(Tool!$H$7="Italiano",I484,E484))</f>
        <v>Bodenschutz auf der Baustelle</v>
      </c>
      <c r="D484" s="300"/>
      <c r="E484" s="296" t="s">
        <v>197</v>
      </c>
      <c r="F484" s="300"/>
      <c r="G484" s="296" t="s">
        <v>272</v>
      </c>
      <c r="H484" s="300"/>
      <c r="I484" s="296" t="s">
        <v>1244</v>
      </c>
      <c r="J484" s="316"/>
      <c r="K484" s="138"/>
      <c r="L484" s="138"/>
      <c r="M484" s="138"/>
      <c r="N484" s="138"/>
      <c r="O484" s="138"/>
      <c r="P484" s="138"/>
      <c r="Q484" s="138"/>
      <c r="R484" s="138"/>
      <c r="S484" s="138"/>
      <c r="T484" s="138"/>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BB484" s="138"/>
      <c r="BC484" s="138"/>
      <c r="BD484" s="138"/>
      <c r="BE484" s="138"/>
      <c r="BF484" s="138"/>
      <c r="BG484" s="138"/>
      <c r="BH484" s="138"/>
      <c r="BI484" s="138"/>
    </row>
    <row r="485" spans="1:61" ht="15" customHeight="1">
      <c r="A485" s="138"/>
      <c r="B485" s="300"/>
      <c r="C485" s="284" t="str">
        <f>IF(Tool!$H$7="Français",G485,IF(Tool!$H$7="Italiano",I485,E485))</f>
        <v>Luftreinhaltung auf Baustellen</v>
      </c>
      <c r="D485" s="300"/>
      <c r="E485" s="296" t="s">
        <v>199</v>
      </c>
      <c r="F485" s="300"/>
      <c r="G485" s="296" t="s">
        <v>273</v>
      </c>
      <c r="H485" s="300"/>
      <c r="I485" s="296" t="s">
        <v>1245</v>
      </c>
      <c r="J485" s="316"/>
      <c r="K485" s="138"/>
      <c r="L485" s="138"/>
      <c r="M485" s="138"/>
      <c r="N485" s="138"/>
      <c r="O485" s="138"/>
      <c r="P485" s="138"/>
      <c r="Q485" s="138"/>
      <c r="R485" s="138"/>
      <c r="S485" s="138"/>
      <c r="T485" s="138"/>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BB485" s="138"/>
      <c r="BC485" s="138"/>
      <c r="BD485" s="138"/>
      <c r="BE485" s="138"/>
      <c r="BF485" s="138"/>
      <c r="BG485" s="138"/>
      <c r="BH485" s="138"/>
      <c r="BI485" s="138"/>
    </row>
    <row r="486" spans="1:61" ht="15" customHeight="1">
      <c r="A486" s="138"/>
      <c r="B486" s="300"/>
      <c r="C486" s="284" t="str">
        <f>IF(Tool!$H$7="Français",G486,IF(Tool!$H$7="Italiano",I486,E486))</f>
        <v>Baulärm-Richtlinie</v>
      </c>
      <c r="D486" s="300"/>
      <c r="E486" s="296" t="s">
        <v>201</v>
      </c>
      <c r="F486" s="300"/>
      <c r="G486" s="296" t="s">
        <v>286</v>
      </c>
      <c r="H486" s="300"/>
      <c r="I486" s="296" t="s">
        <v>1246</v>
      </c>
      <c r="J486" s="316"/>
      <c r="K486" s="138"/>
      <c r="L486" s="138"/>
      <c r="M486" s="138"/>
      <c r="N486" s="138"/>
      <c r="O486" s="138"/>
      <c r="P486" s="138"/>
      <c r="Q486" s="138"/>
      <c r="R486" s="138"/>
      <c r="S486" s="138"/>
      <c r="T486" s="138"/>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BB486" s="138"/>
      <c r="BC486" s="138"/>
      <c r="BD486" s="138"/>
      <c r="BE486" s="138"/>
      <c r="BF486" s="138"/>
      <c r="BG486" s="138"/>
      <c r="BH486" s="138"/>
      <c r="BI486" s="138"/>
    </row>
    <row r="487" spans="1:61" ht="15" customHeight="1">
      <c r="A487" s="138"/>
      <c r="B487" s="300"/>
      <c r="C487" s="284" t="str">
        <f>IF(Tool!$H$7="Français",G487,IF(Tool!$H$7="Italiano",I487,E487))</f>
        <v>Eco-BKP Richtlinien</v>
      </c>
      <c r="D487" s="300"/>
      <c r="E487" s="296" t="s">
        <v>274</v>
      </c>
      <c r="F487" s="300"/>
      <c r="G487" s="296" t="s">
        <v>275</v>
      </c>
      <c r="H487" s="300"/>
      <c r="I487" s="296" t="s">
        <v>1247</v>
      </c>
      <c r="J487" s="366"/>
      <c r="K487" s="138"/>
      <c r="L487" s="138"/>
      <c r="M487" s="138"/>
      <c r="N487" s="138"/>
      <c r="O487" s="138"/>
      <c r="P487" s="138"/>
      <c r="Q487" s="138"/>
      <c r="R487" s="138"/>
      <c r="S487" s="138"/>
      <c r="T487" s="138"/>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BB487" s="138"/>
      <c r="BC487" s="138"/>
      <c r="BD487" s="138"/>
      <c r="BE487" s="138"/>
      <c r="BF487" s="138"/>
      <c r="BG487" s="138"/>
      <c r="BH487" s="138"/>
      <c r="BI487" s="138"/>
    </row>
    <row r="488" spans="1:61" ht="15" customHeight="1">
      <c r="A488" s="138"/>
      <c r="B488" s="300"/>
      <c r="C488" s="284" t="str">
        <f>IF(Tool!$H$7="Français",G488,IF(Tool!$H$7="Italiano",I488,E488))</f>
        <v>Gemeinsame Baustelleneinrichtungen</v>
      </c>
      <c r="D488" s="300"/>
      <c r="E488" s="296" t="s">
        <v>203</v>
      </c>
      <c r="F488" s="300"/>
      <c r="G488" s="296" t="s">
        <v>276</v>
      </c>
      <c r="H488" s="300"/>
      <c r="I488" s="296" t="s">
        <v>1248</v>
      </c>
      <c r="J488" s="366"/>
      <c r="K488" s="138"/>
      <c r="L488" s="138"/>
      <c r="M488" s="138"/>
      <c r="N488" s="138"/>
      <c r="O488" s="138"/>
      <c r="P488" s="138"/>
      <c r="Q488" s="138"/>
      <c r="R488" s="138"/>
      <c r="S488" s="138"/>
      <c r="T488" s="138"/>
      <c r="U488" s="138"/>
      <c r="V488" s="138"/>
      <c r="W488" s="138"/>
      <c r="X488" s="138"/>
      <c r="Y488" s="138"/>
      <c r="Z488" s="138"/>
      <c r="AA488" s="138"/>
      <c r="AB488" s="138"/>
      <c r="AC488" s="138"/>
      <c r="AD488" s="138"/>
      <c r="AE488" s="138"/>
      <c r="AF488" s="138"/>
      <c r="AG488" s="138"/>
      <c r="AH488" s="138"/>
      <c r="AI488" s="138"/>
      <c r="AJ488" s="138"/>
      <c r="AK488" s="138"/>
      <c r="AL488" s="138"/>
      <c r="AM488" s="138"/>
      <c r="AN488" s="138"/>
      <c r="AO488" s="138"/>
      <c r="AP488" s="138"/>
      <c r="AQ488" s="138"/>
      <c r="AR488" s="138"/>
      <c r="AS488" s="138"/>
      <c r="AT488" s="138"/>
      <c r="AU488" s="138"/>
      <c r="AV488" s="138"/>
      <c r="AW488" s="138"/>
      <c r="AX488" s="138"/>
      <c r="AY488" s="138"/>
      <c r="BB488" s="138"/>
      <c r="BC488" s="138"/>
      <c r="BD488" s="138"/>
      <c r="BE488" s="138"/>
      <c r="BF488" s="138"/>
      <c r="BG488" s="138"/>
      <c r="BH488" s="138"/>
      <c r="BI488" s="138"/>
    </row>
    <row r="489" spans="1:61" ht="15" customHeight="1">
      <c r="A489" s="138"/>
      <c r="B489" s="300"/>
      <c r="C489" s="284" t="str">
        <f>IF(Tool!$H$7="Français",G489,IF(Tool!$H$7="Italiano",I489,E489))</f>
        <v>Eco-BKP 130</v>
      </c>
      <c r="D489" s="300"/>
      <c r="E489" s="296" t="s">
        <v>204</v>
      </c>
      <c r="F489" s="300"/>
      <c r="G489" s="296" t="s">
        <v>277</v>
      </c>
      <c r="H489" s="300"/>
      <c r="I489" s="296" t="s">
        <v>204</v>
      </c>
      <c r="J489" s="366"/>
      <c r="K489" s="138"/>
      <c r="L489" s="138"/>
      <c r="M489" s="138"/>
      <c r="N489" s="138"/>
      <c r="O489" s="138"/>
      <c r="P489" s="138"/>
      <c r="Q489" s="138"/>
      <c r="R489" s="138"/>
      <c r="S489" s="138"/>
      <c r="T489" s="138"/>
      <c r="U489" s="138"/>
      <c r="V489" s="138"/>
      <c r="W489" s="138"/>
      <c r="X489" s="138"/>
      <c r="Y489" s="138"/>
      <c r="Z489" s="138"/>
      <c r="AA489" s="138"/>
      <c r="AB489" s="138"/>
      <c r="AC489" s="138"/>
      <c r="AD489" s="138"/>
      <c r="AE489" s="138"/>
      <c r="AF489" s="138"/>
      <c r="AG489" s="138"/>
      <c r="AH489" s="138"/>
      <c r="AI489" s="138"/>
      <c r="AJ489" s="138"/>
      <c r="AK489" s="138"/>
      <c r="AL489" s="138"/>
      <c r="AM489" s="138"/>
      <c r="AN489" s="138"/>
      <c r="AO489" s="138"/>
      <c r="AP489" s="138"/>
      <c r="AQ489" s="138"/>
      <c r="AR489" s="138"/>
      <c r="AS489" s="138"/>
      <c r="AT489" s="138"/>
      <c r="AU489" s="138"/>
      <c r="AV489" s="138"/>
      <c r="AW489" s="138"/>
      <c r="AX489" s="138"/>
      <c r="AY489" s="138"/>
      <c r="BB489" s="138"/>
      <c r="BC489" s="138"/>
      <c r="BD489" s="138"/>
      <c r="BE489" s="138"/>
      <c r="BF489" s="138"/>
      <c r="BG489" s="138"/>
      <c r="BH489" s="138"/>
      <c r="BI489" s="138"/>
    </row>
    <row r="490" spans="1:61" ht="15" customHeight="1">
      <c r="A490" s="138"/>
      <c r="B490" s="300"/>
      <c r="C490" s="284" t="str">
        <f>IF(Tool!$H$7="Français",G490,IF(Tool!$H$7="Italiano",I490,E490))</f>
        <v>ASTRA Wegleitung</v>
      </c>
      <c r="D490" s="300"/>
      <c r="E490" s="296" t="s">
        <v>207</v>
      </c>
      <c r="F490" s="300"/>
      <c r="G490" s="296" t="s">
        <v>278</v>
      </c>
      <c r="H490" s="300"/>
      <c r="I490" s="296" t="s">
        <v>1249</v>
      </c>
      <c r="J490" s="366"/>
      <c r="K490" s="138"/>
      <c r="L490" s="138"/>
      <c r="M490" s="138"/>
      <c r="N490" s="138"/>
      <c r="O490" s="138"/>
      <c r="P490" s="138"/>
      <c r="Q490" s="138"/>
      <c r="R490" s="138"/>
      <c r="S490" s="138"/>
      <c r="T490" s="138"/>
      <c r="U490" s="138"/>
      <c r="V490" s="138"/>
      <c r="W490" s="138"/>
      <c r="X490" s="138"/>
      <c r="Y490" s="138"/>
      <c r="Z490" s="138"/>
      <c r="AA490" s="138"/>
      <c r="AB490" s="138"/>
      <c r="AC490" s="138"/>
      <c r="AD490" s="138"/>
      <c r="AE490" s="138"/>
      <c r="AF490" s="138"/>
      <c r="AG490" s="138"/>
      <c r="AH490" s="138"/>
      <c r="AI490" s="138"/>
      <c r="AJ490" s="138"/>
      <c r="AK490" s="138"/>
      <c r="AL490" s="138"/>
      <c r="AM490" s="138"/>
      <c r="AN490" s="138"/>
      <c r="AO490" s="138"/>
      <c r="AP490" s="138"/>
      <c r="AQ490" s="138"/>
      <c r="AR490" s="138"/>
      <c r="AS490" s="138"/>
      <c r="AT490" s="138"/>
      <c r="AU490" s="138"/>
      <c r="AV490" s="138"/>
      <c r="AW490" s="138"/>
      <c r="AX490" s="138"/>
      <c r="AY490" s="138"/>
      <c r="BB490" s="138"/>
      <c r="BC490" s="138"/>
      <c r="BD490" s="138"/>
      <c r="BE490" s="138"/>
      <c r="BF490" s="138"/>
      <c r="BG490" s="138"/>
      <c r="BH490" s="138"/>
      <c r="BI490" s="138"/>
    </row>
    <row r="491" spans="1:61" ht="15" customHeight="1">
      <c r="A491" s="138"/>
      <c r="B491" s="300"/>
      <c r="C491" s="284" t="str">
        <f>IF(Tool!$H$7="Français",G491,IF(Tool!$H$7="Italiano",I491,E491))</f>
        <v>Anzahl Veloabstellplätze</v>
      </c>
      <c r="D491" s="300"/>
      <c r="E491" s="296" t="s">
        <v>209</v>
      </c>
      <c r="F491" s="300"/>
      <c r="G491" s="296" t="s">
        <v>287</v>
      </c>
      <c r="H491" s="300"/>
      <c r="I491" s="296" t="s">
        <v>1250</v>
      </c>
      <c r="J491" s="366"/>
      <c r="K491" s="138"/>
      <c r="L491" s="138"/>
      <c r="M491" s="138"/>
      <c r="N491" s="138"/>
      <c r="O491" s="138"/>
      <c r="P491" s="138"/>
      <c r="Q491" s="138"/>
      <c r="R491" s="138"/>
      <c r="S491" s="138"/>
      <c r="T491" s="138"/>
      <c r="U491" s="138"/>
      <c r="V491" s="138"/>
      <c r="W491" s="138"/>
      <c r="X491" s="138"/>
      <c r="Y491" s="138"/>
      <c r="Z491" s="138"/>
      <c r="AA491" s="138"/>
      <c r="AB491" s="138"/>
      <c r="AC491" s="138"/>
      <c r="AD491" s="138"/>
      <c r="AE491" s="138"/>
      <c r="AF491" s="138"/>
      <c r="AG491" s="138"/>
      <c r="AH491" s="138"/>
      <c r="AI491" s="138"/>
      <c r="AJ491" s="138"/>
      <c r="AK491" s="138"/>
      <c r="AL491" s="138"/>
      <c r="AM491" s="138"/>
      <c r="AN491" s="138"/>
      <c r="AO491" s="138"/>
      <c r="AP491" s="138"/>
      <c r="AQ491" s="138"/>
      <c r="AR491" s="138"/>
      <c r="AS491" s="138"/>
      <c r="AT491" s="138"/>
      <c r="AU491" s="138"/>
      <c r="AV491" s="138"/>
      <c r="AW491" s="138"/>
      <c r="AX491" s="138"/>
      <c r="AY491" s="138"/>
      <c r="BB491" s="138"/>
      <c r="BC491" s="138"/>
      <c r="BD491" s="138"/>
      <c r="BE491" s="138"/>
      <c r="BF491" s="138"/>
      <c r="BG491" s="138"/>
      <c r="BH491" s="138"/>
      <c r="BI491" s="138"/>
    </row>
    <row r="492" spans="1:61" ht="15" customHeight="1">
      <c r="A492" s="138"/>
      <c r="B492" s="300"/>
      <c r="C492" s="284" t="str">
        <f>IF(Tool!$H$7="Français",G492,IF(Tool!$H$7="Italiano",I492,E492))</f>
        <v>Grundlagen mit strategischer Bedeutung</v>
      </c>
      <c r="D492" s="300"/>
      <c r="E492" s="296" t="s">
        <v>208</v>
      </c>
      <c r="F492" s="300"/>
      <c r="G492" s="296" t="s">
        <v>279</v>
      </c>
      <c r="H492" s="300"/>
      <c r="I492" s="296" t="s">
        <v>1251</v>
      </c>
      <c r="J492" s="366"/>
      <c r="K492" s="138"/>
      <c r="L492" s="138"/>
      <c r="M492" s="138"/>
      <c r="N492" s="138"/>
      <c r="O492" s="138"/>
      <c r="P492" s="138"/>
      <c r="Q492" s="138"/>
      <c r="R492" s="138"/>
      <c r="S492" s="138"/>
      <c r="T492" s="138"/>
      <c r="U492" s="138"/>
      <c r="V492" s="138"/>
      <c r="W492" s="138"/>
      <c r="X492" s="138"/>
      <c r="Y492" s="138"/>
      <c r="Z492" s="138"/>
      <c r="AA492" s="138"/>
      <c r="AB492" s="138"/>
      <c r="AC492" s="138"/>
      <c r="AD492" s="138"/>
      <c r="AE492" s="138"/>
      <c r="AF492" s="138"/>
      <c r="AG492" s="138"/>
      <c r="AH492" s="138"/>
      <c r="AI492" s="138"/>
      <c r="AJ492" s="138"/>
      <c r="AK492" s="138"/>
      <c r="AL492" s="138"/>
      <c r="AM492" s="138"/>
      <c r="AN492" s="138"/>
      <c r="AO492" s="138"/>
      <c r="AP492" s="138"/>
      <c r="AQ492" s="138"/>
      <c r="AR492" s="138"/>
      <c r="AS492" s="138"/>
      <c r="AT492" s="138"/>
      <c r="AU492" s="138"/>
      <c r="AV492" s="138"/>
      <c r="AW492" s="138"/>
      <c r="AX492" s="138"/>
      <c r="AY492" s="138"/>
      <c r="BB492" s="138"/>
      <c r="BC492" s="138"/>
      <c r="BD492" s="138"/>
      <c r="BE492" s="138"/>
      <c r="BF492" s="138"/>
      <c r="BG492" s="138"/>
      <c r="BH492" s="138"/>
      <c r="BI492" s="138"/>
    </row>
    <row r="493" spans="1:61" ht="15" customHeight="1">
      <c r="A493" s="138"/>
      <c r="B493" s="300"/>
      <c r="C493" s="284" t="str">
        <f>IF(Tool!$H$7="Français",G493,IF(Tool!$H$7="Italiano",I493,E493))</f>
        <v>BWA Beobachtung</v>
      </c>
      <c r="D493" s="300"/>
      <c r="E493" s="296" t="s">
        <v>210</v>
      </c>
      <c r="F493" s="300"/>
      <c r="G493" s="296" t="s">
        <v>366</v>
      </c>
      <c r="H493" s="300"/>
      <c r="I493" s="296" t="s">
        <v>1252</v>
      </c>
      <c r="J493" s="366"/>
      <c r="K493" s="138"/>
      <c r="L493" s="138"/>
      <c r="M493" s="138"/>
      <c r="N493" s="138"/>
      <c r="O493" s="138"/>
      <c r="P493" s="138"/>
      <c r="Q493" s="138"/>
      <c r="R493" s="138"/>
      <c r="S493" s="138"/>
      <c r="T493" s="138"/>
      <c r="U493" s="138"/>
      <c r="V493" s="138"/>
      <c r="W493" s="138"/>
      <c r="X493" s="138"/>
      <c r="Y493" s="138"/>
      <c r="Z493" s="138"/>
      <c r="AA493" s="138"/>
      <c r="AB493" s="138"/>
      <c r="AC493" s="138"/>
      <c r="AD493" s="138"/>
      <c r="AE493" s="138"/>
      <c r="AF493" s="138"/>
      <c r="AG493" s="138"/>
      <c r="AH493" s="138"/>
      <c r="AI493" s="138"/>
      <c r="AJ493" s="138"/>
      <c r="AK493" s="138"/>
      <c r="AL493" s="138"/>
      <c r="AM493" s="138"/>
      <c r="AN493" s="138"/>
      <c r="AO493" s="138"/>
      <c r="AP493" s="138"/>
      <c r="AQ493" s="138"/>
      <c r="AR493" s="138"/>
      <c r="AS493" s="138"/>
      <c r="AT493" s="138"/>
      <c r="AU493" s="138"/>
      <c r="AV493" s="138"/>
      <c r="AW493" s="138"/>
      <c r="AX493" s="138"/>
      <c r="AY493" s="138"/>
      <c r="BB493" s="138"/>
      <c r="BC493" s="138"/>
      <c r="BD493" s="138"/>
      <c r="BE493" s="138"/>
      <c r="BF493" s="138"/>
      <c r="BG493" s="138"/>
      <c r="BH493" s="138"/>
      <c r="BI493" s="138"/>
    </row>
    <row r="494" spans="1:61" ht="15" customHeight="1">
      <c r="A494" s="138"/>
      <c r="B494" s="300"/>
      <c r="C494" s="284" t="str">
        <f>IF(Tool!$H$7="Français",G494,IF(Tool!$H$7="Italiano",I494,E494))</f>
        <v>Wettbewerbe und Ausschreibungen</v>
      </c>
      <c r="D494" s="300"/>
      <c r="E494" s="296" t="s">
        <v>211</v>
      </c>
      <c r="F494" s="300"/>
      <c r="G494" s="296" t="s">
        <v>211</v>
      </c>
      <c r="H494" s="300"/>
      <c r="I494" s="296" t="s">
        <v>1253</v>
      </c>
      <c r="J494" s="366"/>
      <c r="K494" s="138"/>
      <c r="L494" s="138"/>
      <c r="M494" s="138"/>
      <c r="N494" s="138"/>
      <c r="O494" s="138"/>
      <c r="P494" s="138"/>
      <c r="Q494" s="138"/>
      <c r="R494" s="138"/>
      <c r="S494" s="138"/>
      <c r="T494" s="138"/>
      <c r="U494" s="138"/>
      <c r="V494" s="138"/>
      <c r="W494" s="138"/>
      <c r="X494" s="138"/>
      <c r="Y494" s="138"/>
      <c r="Z494" s="138"/>
      <c r="AA494" s="138"/>
      <c r="AB494" s="138"/>
      <c r="AC494" s="138"/>
      <c r="AD494" s="138"/>
      <c r="AE494" s="138"/>
      <c r="AF494" s="138"/>
      <c r="AG494" s="138"/>
      <c r="AH494" s="138"/>
      <c r="AI494" s="138"/>
      <c r="AJ494" s="138"/>
      <c r="AK494" s="138"/>
      <c r="AL494" s="138"/>
      <c r="AM494" s="138"/>
      <c r="AN494" s="138"/>
      <c r="AO494" s="138"/>
      <c r="AP494" s="138"/>
      <c r="AQ494" s="138"/>
      <c r="AR494" s="138"/>
      <c r="AS494" s="138"/>
      <c r="AT494" s="138"/>
      <c r="AU494" s="138"/>
      <c r="AV494" s="138"/>
      <c r="AW494" s="138"/>
      <c r="AX494" s="138"/>
      <c r="AY494" s="138"/>
      <c r="BB494" s="138"/>
      <c r="BC494" s="138"/>
      <c r="BD494" s="138"/>
      <c r="BE494" s="138"/>
      <c r="BF494" s="138"/>
      <c r="BG494" s="138"/>
      <c r="BH494" s="138"/>
      <c r="BI494" s="138"/>
    </row>
    <row r="495" spans="1:61" ht="15" customHeight="1">
      <c r="A495" s="138"/>
      <c r="B495" s="308"/>
      <c r="C495" s="284" t="str">
        <f>IF(Tool!$H$7="Français",G495,IF(Tool!$H$7="Italiano",I495,E495))</f>
        <v>Organisation, Intention und Ablauf</v>
      </c>
      <c r="D495" s="308"/>
      <c r="E495" s="296" t="s">
        <v>212</v>
      </c>
      <c r="F495" s="308"/>
      <c r="G495" s="296" t="s">
        <v>212</v>
      </c>
      <c r="H495" s="308"/>
      <c r="I495" s="296" t="s">
        <v>1254</v>
      </c>
      <c r="J495" s="366"/>
      <c r="K495" s="138"/>
      <c r="L495" s="138"/>
      <c r="M495" s="138"/>
      <c r="N495" s="138"/>
      <c r="O495" s="138"/>
      <c r="P495" s="138"/>
      <c r="Q495" s="138"/>
      <c r="R495" s="138"/>
      <c r="S495" s="138"/>
      <c r="T495" s="138"/>
      <c r="U495" s="138"/>
      <c r="V495" s="138"/>
      <c r="W495" s="138"/>
      <c r="X495" s="138"/>
      <c r="Y495" s="138"/>
      <c r="Z495" s="138"/>
      <c r="AA495" s="138"/>
      <c r="AB495" s="138"/>
      <c r="AC495" s="138"/>
      <c r="AD495" s="138"/>
      <c r="AE495" s="138"/>
      <c r="AF495" s="138"/>
      <c r="AG495" s="138"/>
      <c r="AH495" s="138"/>
      <c r="AI495" s="138"/>
      <c r="AJ495" s="138"/>
      <c r="AK495" s="138"/>
      <c r="AL495" s="138"/>
      <c r="AM495" s="138"/>
      <c r="AN495" s="138"/>
      <c r="AO495" s="138"/>
      <c r="AP495" s="138"/>
      <c r="AQ495" s="138"/>
      <c r="AR495" s="138"/>
      <c r="AS495" s="138"/>
      <c r="AT495" s="138"/>
      <c r="AU495" s="138"/>
      <c r="AV495" s="138"/>
      <c r="AW495" s="138"/>
      <c r="AX495" s="138"/>
      <c r="AY495" s="138"/>
      <c r="BB495" s="138"/>
      <c r="BC495" s="138"/>
      <c r="BD495" s="138"/>
      <c r="BE495" s="138"/>
      <c r="BF495" s="138"/>
      <c r="BG495" s="138"/>
      <c r="BH495" s="138"/>
      <c r="BI495" s="138"/>
    </row>
    <row r="496" spans="1:61" ht="15" customHeight="1">
      <c r="A496" s="138"/>
      <c r="B496" s="308"/>
      <c r="C496" s="284" t="str">
        <f>IF(Tool!$H$7="Français",G496,IF(Tool!$H$7="Italiano",I496,E496))</f>
        <v>PR-NIS AWEL Zürich</v>
      </c>
      <c r="D496" s="308"/>
      <c r="E496" s="296" t="s">
        <v>213</v>
      </c>
      <c r="F496" s="308"/>
      <c r="G496" s="296" t="s">
        <v>367</v>
      </c>
      <c r="H496" s="308"/>
      <c r="I496" s="296" t="s">
        <v>1255</v>
      </c>
      <c r="J496" s="366"/>
      <c r="K496" s="138"/>
      <c r="L496" s="138"/>
      <c r="M496" s="138"/>
      <c r="N496" s="138"/>
      <c r="O496" s="138"/>
      <c r="P496" s="138"/>
      <c r="Q496" s="138"/>
      <c r="R496" s="138"/>
      <c r="S496" s="138"/>
      <c r="T496" s="138"/>
      <c r="U496" s="138"/>
      <c r="V496" s="138"/>
      <c r="W496" s="138"/>
      <c r="X496" s="138"/>
      <c r="Y496" s="138"/>
      <c r="Z496" s="138"/>
      <c r="AA496" s="138"/>
      <c r="AB496" s="138"/>
      <c r="AC496" s="138"/>
      <c r="AD496" s="138"/>
      <c r="AE496" s="138"/>
      <c r="AF496" s="138"/>
      <c r="AG496" s="138"/>
      <c r="AH496" s="138"/>
      <c r="AI496" s="138"/>
      <c r="AJ496" s="138"/>
      <c r="AK496" s="138"/>
      <c r="AL496" s="138"/>
      <c r="AM496" s="138"/>
      <c r="AN496" s="138"/>
      <c r="AO496" s="138"/>
      <c r="AP496" s="138"/>
      <c r="AQ496" s="138"/>
      <c r="AR496" s="138"/>
      <c r="AS496" s="138"/>
      <c r="AT496" s="138"/>
      <c r="AU496" s="138"/>
      <c r="AV496" s="138"/>
      <c r="AW496" s="138"/>
      <c r="AX496" s="138"/>
      <c r="AY496" s="138"/>
      <c r="BB496" s="138"/>
      <c r="BC496" s="138"/>
      <c r="BD496" s="138"/>
      <c r="BE496" s="138"/>
      <c r="BF496" s="138"/>
      <c r="BG496" s="138"/>
      <c r="BH496" s="138"/>
      <c r="BI496" s="138"/>
    </row>
    <row r="497" spans="1:61" ht="15" customHeight="1">
      <c r="A497" s="138"/>
      <c r="B497" s="308"/>
      <c r="C497" s="284" t="str">
        <f>IF(Tool!$H$7="Français",G497,IF(Tool!$H$7="Italiano",I497,E497))</f>
        <v>Nichtionisierende Strahlung</v>
      </c>
      <c r="D497" s="308"/>
      <c r="E497" s="296" t="s">
        <v>215</v>
      </c>
      <c r="F497" s="308"/>
      <c r="G497" s="296" t="s">
        <v>215</v>
      </c>
      <c r="H497" s="308"/>
      <c r="I497" s="296" t="s">
        <v>1256</v>
      </c>
      <c r="J497" s="366"/>
      <c r="K497" s="138"/>
      <c r="L497" s="138"/>
      <c r="M497" s="138"/>
      <c r="N497" s="138"/>
      <c r="O497" s="138"/>
      <c r="P497" s="138"/>
      <c r="Q497" s="138"/>
      <c r="R497" s="138"/>
      <c r="S497" s="138"/>
      <c r="T497" s="138"/>
      <c r="U497" s="138"/>
      <c r="V497" s="138"/>
      <c r="W497" s="138"/>
      <c r="X497" s="138"/>
      <c r="Y497" s="138"/>
      <c r="Z497" s="138"/>
      <c r="AA497" s="138"/>
      <c r="AB497" s="138"/>
      <c r="AC497" s="138"/>
      <c r="AD497" s="138"/>
      <c r="AE497" s="138"/>
      <c r="AF497" s="138"/>
      <c r="AG497" s="138"/>
      <c r="AH497" s="138"/>
      <c r="AI497" s="138"/>
      <c r="AJ497" s="138"/>
      <c r="AK497" s="138"/>
      <c r="AL497" s="138"/>
      <c r="AM497" s="138"/>
      <c r="AN497" s="138"/>
      <c r="AO497" s="138"/>
      <c r="AP497" s="138"/>
      <c r="AQ497" s="138"/>
      <c r="AR497" s="138"/>
      <c r="AS497" s="138"/>
      <c r="AT497" s="138"/>
      <c r="AU497" s="138"/>
      <c r="AV497" s="138"/>
      <c r="AW497" s="138"/>
      <c r="AX497" s="138"/>
      <c r="AY497" s="138"/>
      <c r="BB497" s="138"/>
      <c r="BC497" s="138"/>
      <c r="BD497" s="138"/>
      <c r="BE497" s="138"/>
      <c r="BF497" s="138"/>
      <c r="BG497" s="138"/>
      <c r="BH497" s="138"/>
      <c r="BI497" s="138"/>
    </row>
    <row r="498" spans="1:61" ht="15" customHeight="1">
      <c r="A498" s="138"/>
      <c r="B498" s="308"/>
      <c r="C498" s="284" t="str">
        <f>IF(Tool!$H$7="Français",G498,IF(Tool!$H$7="Italiano",I498,E498))</f>
        <v>Planungsrichtlinie</v>
      </c>
      <c r="D498" s="308"/>
      <c r="E498" s="296" t="s">
        <v>214</v>
      </c>
      <c r="F498" s="308"/>
      <c r="G498" s="296" t="s">
        <v>214</v>
      </c>
      <c r="H498" s="308"/>
      <c r="I498" s="296" t="s">
        <v>1257</v>
      </c>
      <c r="J498" s="366"/>
      <c r="K498" s="138"/>
      <c r="L498" s="138"/>
      <c r="M498" s="138"/>
      <c r="N498" s="138"/>
      <c r="O498" s="138"/>
      <c r="P498" s="138"/>
      <c r="Q498" s="138"/>
      <c r="R498" s="138"/>
      <c r="S498" s="138"/>
      <c r="T498" s="138"/>
      <c r="U498" s="138"/>
      <c r="V498" s="138"/>
      <c r="W498" s="138"/>
      <c r="X498" s="138"/>
      <c r="Y498" s="138"/>
      <c r="Z498" s="138"/>
      <c r="AA498" s="138"/>
      <c r="AB498" s="138"/>
      <c r="AC498" s="138"/>
      <c r="AD498" s="138"/>
      <c r="AE498" s="138"/>
      <c r="AF498" s="138"/>
      <c r="AG498" s="138"/>
      <c r="AH498" s="138"/>
      <c r="AI498" s="138"/>
      <c r="AJ498" s="138"/>
      <c r="AK498" s="138"/>
      <c r="AL498" s="138"/>
      <c r="AM498" s="138"/>
      <c r="AN498" s="138"/>
      <c r="AO498" s="138"/>
      <c r="AP498" s="138"/>
      <c r="AQ498" s="138"/>
      <c r="AR498" s="138"/>
      <c r="AS498" s="138"/>
      <c r="AT498" s="138"/>
      <c r="AU498" s="138"/>
      <c r="AV498" s="138"/>
      <c r="AW498" s="138"/>
      <c r="AX498" s="138"/>
      <c r="AY498" s="138"/>
      <c r="BB498" s="138"/>
      <c r="BC498" s="138"/>
      <c r="BD498" s="138"/>
      <c r="BE498" s="138"/>
      <c r="BF498" s="138"/>
      <c r="BG498" s="138"/>
      <c r="BH498" s="138"/>
      <c r="BI498" s="138"/>
    </row>
    <row r="499" spans="1:61" ht="15" customHeight="1">
      <c r="A499" s="138"/>
      <c r="B499" s="308"/>
      <c r="C499" s="284" t="str">
        <f>IF(Tool!$H$7="Français",G499,IF(Tool!$H$7="Italiano",I499,E499))</f>
        <v>ArGV3</v>
      </c>
      <c r="D499" s="308"/>
      <c r="E499" s="296" t="s">
        <v>300</v>
      </c>
      <c r="F499" s="308"/>
      <c r="G499" s="296" t="s">
        <v>302</v>
      </c>
      <c r="H499" s="308"/>
      <c r="I499" s="296" t="s">
        <v>300</v>
      </c>
      <c r="J499" s="366"/>
      <c r="K499" s="138"/>
      <c r="L499" s="138"/>
      <c r="M499" s="138"/>
      <c r="N499" s="138"/>
      <c r="O499" s="138"/>
      <c r="P499" s="138"/>
      <c r="Q499" s="138"/>
      <c r="R499" s="138"/>
      <c r="S499" s="138"/>
      <c r="T499" s="138"/>
      <c r="U499" s="138"/>
      <c r="V499" s="138"/>
      <c r="W499" s="138"/>
      <c r="X499" s="138"/>
      <c r="Y499" s="138"/>
      <c r="Z499" s="138"/>
      <c r="AA499" s="138"/>
      <c r="AB499" s="138"/>
      <c r="AC499" s="138"/>
      <c r="AD499" s="138"/>
      <c r="AE499" s="138"/>
      <c r="AF499" s="138"/>
      <c r="AG499" s="138"/>
      <c r="AH499" s="138"/>
      <c r="AI499" s="138"/>
      <c r="AJ499" s="138"/>
      <c r="AK499" s="138"/>
      <c r="AL499" s="138"/>
      <c r="AM499" s="138"/>
      <c r="AN499" s="138"/>
      <c r="AO499" s="138"/>
      <c r="AP499" s="138"/>
      <c r="AQ499" s="138"/>
      <c r="AR499" s="138"/>
      <c r="AS499" s="138"/>
      <c r="AT499" s="138"/>
      <c r="AU499" s="138"/>
      <c r="AV499" s="138"/>
      <c r="AW499" s="138"/>
      <c r="AX499" s="138"/>
      <c r="AY499" s="138"/>
      <c r="BB499" s="138"/>
      <c r="BC499" s="138"/>
      <c r="BD499" s="138"/>
      <c r="BE499" s="138"/>
      <c r="BF499" s="138"/>
      <c r="BG499" s="138"/>
      <c r="BH499" s="138"/>
      <c r="BI499" s="138"/>
    </row>
    <row r="500" spans="1:61" ht="15" customHeight="1">
      <c r="A500" s="138"/>
      <c r="B500" s="308"/>
      <c r="C500" s="284" t="str">
        <f>IF(Tool!$H$7="Français",G500,IF(Tool!$H$7="Italiano",I500,E500))</f>
        <v>Arbeitsgesetz und Verordnungen</v>
      </c>
      <c r="D500" s="308"/>
      <c r="E500" s="296" t="s">
        <v>1668</v>
      </c>
      <c r="F500" s="308"/>
      <c r="G500" s="296" t="s">
        <v>303</v>
      </c>
      <c r="H500" s="308"/>
      <c r="I500" s="296" t="s">
        <v>1258</v>
      </c>
      <c r="J500" s="366"/>
      <c r="K500" s="138"/>
      <c r="L500" s="138"/>
      <c r="M500" s="138"/>
      <c r="N500" s="138"/>
      <c r="O500" s="138"/>
      <c r="P500" s="138"/>
      <c r="Q500" s="138"/>
      <c r="R500" s="138"/>
      <c r="S500" s="138"/>
      <c r="T500" s="138"/>
      <c r="U500" s="138"/>
      <c r="V500" s="138"/>
      <c r="W500" s="138"/>
      <c r="X500" s="138"/>
      <c r="Y500" s="138"/>
      <c r="Z500" s="138"/>
      <c r="AA500" s="138"/>
      <c r="AB500" s="138"/>
      <c r="AC500" s="138"/>
      <c r="AD500" s="138"/>
      <c r="AE500" s="138"/>
      <c r="AF500" s="138"/>
      <c r="AG500" s="138"/>
      <c r="AH500" s="138"/>
      <c r="AI500" s="138"/>
      <c r="AJ500" s="138"/>
      <c r="AK500" s="138"/>
      <c r="AL500" s="138"/>
      <c r="AM500" s="138"/>
      <c r="AN500" s="138"/>
      <c r="AO500" s="138"/>
      <c r="AP500" s="138"/>
      <c r="AQ500" s="138"/>
      <c r="AR500" s="138"/>
      <c r="AS500" s="138"/>
      <c r="AT500" s="138"/>
      <c r="AU500" s="138"/>
      <c r="AV500" s="138"/>
      <c r="AW500" s="138"/>
      <c r="AX500" s="138"/>
      <c r="AY500" s="138"/>
      <c r="BB500" s="138"/>
      <c r="BC500" s="138"/>
      <c r="BD500" s="138"/>
      <c r="BE500" s="138"/>
      <c r="BF500" s="138"/>
      <c r="BG500" s="138"/>
      <c r="BH500" s="138"/>
      <c r="BI500" s="138"/>
    </row>
    <row r="501" spans="1:61" ht="15" customHeight="1">
      <c r="A501" s="138"/>
      <c r="B501" s="308"/>
      <c r="C501" s="284" t="str">
        <f>IF(Tool!$H$7="Français",G501,IF(Tool!$H$7="Italiano",I501,E501))</f>
        <v>Wegleitungen</v>
      </c>
      <c r="D501" s="308"/>
      <c r="E501" s="296" t="s">
        <v>301</v>
      </c>
      <c r="F501" s="308"/>
      <c r="G501" s="296" t="s">
        <v>304</v>
      </c>
      <c r="H501" s="308"/>
      <c r="I501" s="296" t="s">
        <v>1259</v>
      </c>
      <c r="J501" s="366"/>
      <c r="K501" s="138"/>
      <c r="L501" s="138"/>
      <c r="M501" s="138"/>
      <c r="N501" s="138"/>
      <c r="O501" s="138"/>
      <c r="P501" s="138"/>
      <c r="Q501" s="138"/>
      <c r="R501" s="138"/>
      <c r="S501" s="138"/>
      <c r="T501" s="138"/>
      <c r="U501" s="138"/>
      <c r="V501" s="138"/>
      <c r="W501" s="138"/>
      <c r="X501" s="138"/>
      <c r="Y501" s="138"/>
      <c r="Z501" s="138"/>
      <c r="AA501" s="138"/>
      <c r="AB501" s="138"/>
      <c r="AC501" s="138"/>
      <c r="AD501" s="138"/>
      <c r="AE501" s="138"/>
      <c r="AF501" s="138"/>
      <c r="AG501" s="138"/>
      <c r="AH501" s="138"/>
      <c r="AI501" s="138"/>
      <c r="AJ501" s="138"/>
      <c r="AK501" s="138"/>
      <c r="AL501" s="138"/>
      <c r="AM501" s="138"/>
      <c r="AN501" s="138"/>
      <c r="AO501" s="138"/>
      <c r="AP501" s="138"/>
      <c r="AQ501" s="138"/>
      <c r="AR501" s="138"/>
      <c r="AS501" s="138"/>
      <c r="AT501" s="138"/>
      <c r="AU501" s="138"/>
      <c r="AV501" s="138"/>
      <c r="AW501" s="138"/>
      <c r="AX501" s="138"/>
      <c r="AY501" s="138"/>
      <c r="BB501" s="138"/>
      <c r="BC501" s="138"/>
      <c r="BD501" s="138"/>
      <c r="BE501" s="138"/>
      <c r="BF501" s="138"/>
      <c r="BG501" s="138"/>
      <c r="BH501" s="138"/>
      <c r="BI501" s="138"/>
    </row>
    <row r="502" spans="1:61" ht="15" customHeight="1">
      <c r="A502" s="138"/>
      <c r="B502" s="308"/>
      <c r="C502" s="284" t="str">
        <f>IF(Tool!$H$7="Français",G502,IF(Tool!$H$7="Italiano",I502,E502))</f>
        <v>DIN-Norm 18041:2016</v>
      </c>
      <c r="D502" s="308"/>
      <c r="E502" s="296" t="s">
        <v>354</v>
      </c>
      <c r="F502" s="308"/>
      <c r="G502" s="296" t="s">
        <v>470</v>
      </c>
      <c r="H502" s="308"/>
      <c r="I502" s="296" t="s">
        <v>1260</v>
      </c>
      <c r="J502" s="366"/>
      <c r="K502" s="138"/>
      <c r="L502" s="138"/>
      <c r="M502" s="138"/>
      <c r="N502" s="138"/>
      <c r="O502" s="138"/>
      <c r="P502" s="138"/>
      <c r="Q502" s="138"/>
      <c r="R502" s="138"/>
      <c r="S502" s="138"/>
      <c r="T502" s="138"/>
      <c r="U502" s="138"/>
      <c r="V502" s="138"/>
      <c r="W502" s="138"/>
      <c r="X502" s="138"/>
      <c r="Y502" s="138"/>
      <c r="Z502" s="138"/>
      <c r="AA502" s="138"/>
      <c r="AB502" s="138"/>
      <c r="AC502" s="138"/>
      <c r="AD502" s="138"/>
      <c r="AE502" s="138"/>
      <c r="AF502" s="138"/>
      <c r="AG502" s="138"/>
      <c r="AH502" s="138"/>
      <c r="AI502" s="138"/>
      <c r="AJ502" s="138"/>
      <c r="AK502" s="138"/>
      <c r="AL502" s="138"/>
      <c r="AM502" s="138"/>
      <c r="AN502" s="138"/>
      <c r="AO502" s="138"/>
      <c r="AP502" s="138"/>
      <c r="AQ502" s="138"/>
      <c r="AR502" s="138"/>
      <c r="AS502" s="138"/>
      <c r="AT502" s="138"/>
      <c r="AU502" s="138"/>
      <c r="AV502" s="138"/>
      <c r="AW502" s="138"/>
      <c r="AX502" s="138"/>
      <c r="AY502" s="138"/>
      <c r="BB502" s="138"/>
      <c r="BC502" s="138"/>
      <c r="BD502" s="138"/>
      <c r="BE502" s="138"/>
      <c r="BF502" s="138"/>
      <c r="BG502" s="138"/>
      <c r="BH502" s="138"/>
      <c r="BI502" s="138"/>
    </row>
    <row r="503" spans="1:61" ht="15" customHeight="1">
      <c r="A503" s="138"/>
      <c r="B503" s="308"/>
      <c r="C503" s="284" t="str">
        <f>IF(Tool!$H$7="Français",G503,IF(Tool!$H$7="Italiano",I503,E503))</f>
        <v>Hörsamkeit in Räumen – Anforderungen, Empfehlungen und Hinweise zur Planung</v>
      </c>
      <c r="D503" s="308"/>
      <c r="E503" s="296" t="s">
        <v>307</v>
      </c>
      <c r="F503" s="308"/>
      <c r="G503" s="296" t="s">
        <v>307</v>
      </c>
      <c r="H503" s="308"/>
      <c r="I503" s="296" t="s">
        <v>1261</v>
      </c>
      <c r="J503" s="366"/>
      <c r="K503" s="138"/>
      <c r="L503" s="138"/>
      <c r="M503" s="138"/>
      <c r="N503" s="138"/>
      <c r="O503" s="138"/>
      <c r="P503" s="138"/>
      <c r="Q503" s="138"/>
      <c r="R503" s="138"/>
      <c r="S503" s="138"/>
      <c r="T503" s="138"/>
      <c r="U503" s="138"/>
      <c r="V503" s="138"/>
      <c r="W503" s="138"/>
      <c r="X503" s="138"/>
      <c r="Y503" s="138"/>
      <c r="Z503" s="138"/>
      <c r="AA503" s="138"/>
      <c r="AB503" s="138"/>
      <c r="AC503" s="138"/>
      <c r="AD503" s="138"/>
      <c r="AE503" s="138"/>
      <c r="AF503" s="138"/>
      <c r="AG503" s="138"/>
      <c r="AH503" s="138"/>
      <c r="AI503" s="138"/>
      <c r="AJ503" s="138"/>
      <c r="AK503" s="138"/>
      <c r="AL503" s="138"/>
      <c r="AM503" s="138"/>
      <c r="AN503" s="138"/>
      <c r="AO503" s="138"/>
      <c r="AP503" s="138"/>
      <c r="AQ503" s="138"/>
      <c r="AR503" s="138"/>
      <c r="AS503" s="138"/>
      <c r="AT503" s="138"/>
      <c r="AU503" s="138"/>
      <c r="AV503" s="138"/>
      <c r="AW503" s="138"/>
      <c r="AX503" s="138"/>
      <c r="AY503" s="138"/>
      <c r="BB503" s="138"/>
      <c r="BC503" s="138"/>
      <c r="BD503" s="138"/>
      <c r="BE503" s="138"/>
      <c r="BF503" s="138"/>
      <c r="BG503" s="138"/>
      <c r="BH503" s="138"/>
      <c r="BI503" s="138"/>
    </row>
    <row r="504" spans="1:61" ht="15" customHeight="1">
      <c r="A504" s="138"/>
      <c r="B504" s="308"/>
      <c r="C504" s="284" t="str">
        <f>IF(Tool!$H$7="Français",G504,IF(Tool!$H$7="Italiano",I504,E504))</f>
        <v>DIN 18041</v>
      </c>
      <c r="D504" s="308"/>
      <c r="E504" s="296" t="s">
        <v>308</v>
      </c>
      <c r="F504" s="308"/>
      <c r="G504" s="296" t="s">
        <v>308</v>
      </c>
      <c r="H504" s="308"/>
      <c r="I504" s="296" t="s">
        <v>308</v>
      </c>
      <c r="J504" s="366"/>
      <c r="K504" s="138"/>
      <c r="L504" s="138"/>
      <c r="M504" s="138"/>
      <c r="N504" s="138"/>
      <c r="O504" s="138"/>
      <c r="P504" s="138"/>
      <c r="Q504" s="138"/>
      <c r="R504" s="138"/>
      <c r="S504" s="138"/>
      <c r="T504" s="138"/>
      <c r="U504" s="138"/>
      <c r="V504" s="138"/>
      <c r="W504" s="138"/>
      <c r="X504" s="138"/>
      <c r="Y504" s="138"/>
      <c r="Z504" s="138"/>
      <c r="AA504" s="138"/>
      <c r="AB504" s="138"/>
      <c r="AC504" s="138"/>
      <c r="AD504" s="138"/>
      <c r="AE504" s="138"/>
      <c r="AF504" s="138"/>
      <c r="AG504" s="138"/>
      <c r="AH504" s="138"/>
      <c r="AI504" s="138"/>
      <c r="AJ504" s="138"/>
      <c r="AK504" s="138"/>
      <c r="AL504" s="138"/>
      <c r="AM504" s="138"/>
      <c r="AN504" s="138"/>
      <c r="AO504" s="138"/>
      <c r="AP504" s="138"/>
      <c r="AQ504" s="138"/>
      <c r="AR504" s="138"/>
      <c r="AS504" s="138"/>
      <c r="AT504" s="138"/>
      <c r="AU504" s="138"/>
      <c r="AV504" s="138"/>
      <c r="AW504" s="138"/>
      <c r="AX504" s="138"/>
      <c r="AY504" s="138"/>
      <c r="BB504" s="138"/>
      <c r="BC504" s="138"/>
      <c r="BD504" s="138"/>
      <c r="BE504" s="138"/>
      <c r="BF504" s="138"/>
      <c r="BG504" s="138"/>
      <c r="BH504" s="138"/>
      <c r="BI504" s="138"/>
    </row>
    <row r="505" spans="1:61" ht="15" customHeight="1">
      <c r="A505" s="138"/>
      <c r="B505" s="308"/>
      <c r="C505" s="284" t="str">
        <f>IF(Tool!$H$7="Français",G505,IF(Tool!$H$7="Italiano",I505,E505))</f>
        <v>IFMA-Tool</v>
      </c>
      <c r="D505" s="308"/>
      <c r="E505" s="296" t="s">
        <v>1568</v>
      </c>
      <c r="F505" s="308"/>
      <c r="G505" s="296" t="s">
        <v>1570</v>
      </c>
      <c r="H505" s="308"/>
      <c r="I505" s="296" t="s">
        <v>1569</v>
      </c>
      <c r="J505" s="366"/>
      <c r="K505" s="138"/>
      <c r="L505" s="138"/>
      <c r="M505" s="138"/>
      <c r="N505" s="138"/>
      <c r="O505" s="138"/>
      <c r="P505" s="138"/>
      <c r="Q505" s="138"/>
      <c r="R505" s="138"/>
      <c r="S505" s="138"/>
      <c r="T505" s="138"/>
      <c r="U505" s="138"/>
      <c r="V505" s="138"/>
      <c r="W505" s="138"/>
      <c r="X505" s="138"/>
      <c r="Y505" s="138"/>
      <c r="Z505" s="138"/>
      <c r="AA505" s="138"/>
      <c r="AB505" s="138"/>
      <c r="AC505" s="138"/>
      <c r="AD505" s="138"/>
      <c r="AE505" s="138"/>
      <c r="AF505" s="138"/>
      <c r="AG505" s="138"/>
      <c r="AH505" s="138"/>
      <c r="AI505" s="138"/>
      <c r="AJ505" s="138"/>
      <c r="AK505" s="138"/>
      <c r="AL505" s="138"/>
      <c r="AM505" s="138"/>
      <c r="AN505" s="138"/>
      <c r="AO505" s="138"/>
      <c r="AP505" s="138"/>
      <c r="AQ505" s="138"/>
      <c r="AR505" s="138"/>
      <c r="AS505" s="138"/>
      <c r="AT505" s="138"/>
      <c r="AU505" s="138"/>
      <c r="AV505" s="138"/>
      <c r="AW505" s="138"/>
      <c r="AX505" s="138"/>
      <c r="AY505" s="138"/>
      <c r="BB505" s="138"/>
      <c r="BC505" s="138"/>
      <c r="BD505" s="138"/>
      <c r="BE505" s="138"/>
      <c r="BF505" s="138"/>
      <c r="BG505" s="138"/>
      <c r="BH505" s="138"/>
      <c r="BI505" s="138"/>
    </row>
    <row r="506" spans="1:61" ht="15" customHeight="1">
      <c r="A506" s="138"/>
      <c r="B506" s="308"/>
      <c r="C506" s="284" t="str">
        <f>IF(Tool!$H$7="Français",G506,IF(Tool!$H$7="Italiano",I506,E506))</f>
        <v>Lebenszykluskosten-Ermittlung von Immobilien</v>
      </c>
      <c r="D506" s="308"/>
      <c r="E506" s="296" t="s">
        <v>1571</v>
      </c>
      <c r="F506" s="308"/>
      <c r="G506" s="296" t="s">
        <v>1575</v>
      </c>
      <c r="H506" s="308"/>
      <c r="I506" s="296" t="s">
        <v>1577</v>
      </c>
      <c r="J506" s="366"/>
      <c r="K506" s="138"/>
      <c r="L506" s="138"/>
      <c r="M506" s="138"/>
      <c r="N506" s="138"/>
      <c r="O506" s="138"/>
      <c r="P506" s="138"/>
      <c r="Q506" s="138"/>
      <c r="R506" s="138"/>
      <c r="S506" s="138"/>
      <c r="T506" s="138"/>
      <c r="U506" s="138"/>
      <c r="V506" s="138"/>
      <c r="W506" s="138"/>
      <c r="X506" s="138"/>
      <c r="Y506" s="138"/>
      <c r="Z506" s="138"/>
      <c r="AA506" s="138"/>
      <c r="AB506" s="138"/>
      <c r="AC506" s="138"/>
      <c r="AD506" s="138"/>
      <c r="AE506" s="138"/>
      <c r="AF506" s="138"/>
      <c r="AG506" s="138"/>
      <c r="AH506" s="138"/>
      <c r="AI506" s="138"/>
      <c r="AJ506" s="138"/>
      <c r="AK506" s="138"/>
      <c r="AL506" s="138"/>
      <c r="AM506" s="138"/>
      <c r="AN506" s="138"/>
      <c r="AO506" s="138"/>
      <c r="AP506" s="138"/>
      <c r="AQ506" s="138"/>
      <c r="AR506" s="138"/>
      <c r="AS506" s="138"/>
      <c r="AT506" s="138"/>
      <c r="AU506" s="138"/>
      <c r="AV506" s="138"/>
      <c r="AW506" s="138"/>
      <c r="AX506" s="138"/>
      <c r="AY506" s="138"/>
      <c r="BB506" s="138"/>
      <c r="BC506" s="138"/>
      <c r="BD506" s="138"/>
      <c r="BE506" s="138"/>
      <c r="BF506" s="138"/>
      <c r="BG506" s="138"/>
      <c r="BH506" s="138"/>
      <c r="BI506" s="138"/>
    </row>
    <row r="507" spans="1:61" ht="15" customHeight="1">
      <c r="A507" s="138"/>
      <c r="B507" s="308"/>
      <c r="C507" s="284" t="str">
        <f>IF(Tool!$H$7="Français",G507,IF(Tool!$H$7="Italiano",I507,E507))</f>
        <v>IFMA-Tool. Teil 1 und 2</v>
      </c>
      <c r="D507" s="308"/>
      <c r="E507" s="296" t="s">
        <v>1572</v>
      </c>
      <c r="F507" s="308"/>
      <c r="G507" s="296" t="s">
        <v>1574</v>
      </c>
      <c r="H507" s="308"/>
      <c r="I507" s="296" t="s">
        <v>1576</v>
      </c>
      <c r="J507" s="366"/>
      <c r="K507" s="138"/>
      <c r="L507" s="138"/>
      <c r="M507" s="138"/>
      <c r="N507" s="138"/>
      <c r="O507" s="138"/>
      <c r="P507" s="138"/>
      <c r="Q507" s="138"/>
      <c r="R507" s="138"/>
      <c r="S507" s="138"/>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BB507" s="138"/>
      <c r="BC507" s="138"/>
      <c r="BD507" s="138"/>
      <c r="BE507" s="138"/>
      <c r="BF507" s="138"/>
      <c r="BG507" s="138"/>
      <c r="BH507" s="138"/>
      <c r="BI507" s="138"/>
    </row>
    <row r="508" spans="1:61" ht="15" customHeight="1">
      <c r="A508" s="138"/>
      <c r="B508" s="308"/>
      <c r="C508" s="284" t="str">
        <f>IF(Tool!$H$7="Français",G508,IF(Tool!$H$7="Italiano",I508,E508))</f>
        <v>Schutz vor Naturgefahren</v>
      </c>
      <c r="D508" s="308"/>
      <c r="E508" s="296" t="s">
        <v>1579</v>
      </c>
      <c r="F508" s="308"/>
      <c r="G508" s="296" t="s">
        <v>1580</v>
      </c>
      <c r="H508" s="308"/>
      <c r="I508" s="296" t="s">
        <v>1582</v>
      </c>
      <c r="J508" s="366"/>
      <c r="K508" s="138"/>
      <c r="L508" s="138"/>
      <c r="M508" s="138"/>
      <c r="N508" s="138"/>
      <c r="O508" s="138"/>
      <c r="P508" s="138"/>
      <c r="Q508" s="138"/>
      <c r="R508" s="138"/>
      <c r="S508" s="138"/>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BB508" s="138"/>
      <c r="BC508" s="138"/>
      <c r="BD508" s="138"/>
      <c r="BE508" s="138"/>
      <c r="BF508" s="138"/>
      <c r="BG508" s="138"/>
      <c r="BH508" s="138"/>
      <c r="BI508" s="138"/>
    </row>
    <row r="509" spans="1:61" ht="15" customHeight="1">
      <c r="A509" s="138"/>
      <c r="B509" s="308"/>
      <c r="C509" s="284" t="str">
        <f>IF(Tool!$H$7="Français",G509,IF(Tool!$H$7="Italiano",I509,E509))</f>
        <v>SNBS Kriterium 221 Naturgefahren</v>
      </c>
      <c r="D509" s="308"/>
      <c r="E509" s="296" t="s">
        <v>1587</v>
      </c>
      <c r="F509" s="308"/>
      <c r="G509" s="296" t="s">
        <v>1584</v>
      </c>
      <c r="H509" s="308"/>
      <c r="I509" s="296" t="s">
        <v>1586</v>
      </c>
      <c r="J509" s="366"/>
      <c r="K509" s="138"/>
      <c r="L509" s="138"/>
      <c r="M509" s="138"/>
      <c r="N509" s="138"/>
      <c r="O509" s="138"/>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BB509" s="138"/>
      <c r="BC509" s="138"/>
      <c r="BD509" s="138"/>
      <c r="BE509" s="138"/>
      <c r="BF509" s="138"/>
      <c r="BG509" s="138"/>
      <c r="BH509" s="138"/>
      <c r="BI509" s="138"/>
    </row>
    <row r="510" spans="1:61" ht="15" customHeight="1">
      <c r="A510" s="138"/>
      <c r="B510" s="343"/>
      <c r="C510" s="284" t="str">
        <f>IF(Tool!$H$7="Français",G510,IF(Tool!$H$7="Italiano",I510,E510))</f>
        <v>Online-Bewertungstool</v>
      </c>
      <c r="D510" s="343"/>
      <c r="E510" s="298" t="s">
        <v>1583</v>
      </c>
      <c r="F510" s="343"/>
      <c r="G510" s="298" t="s">
        <v>1585</v>
      </c>
      <c r="H510" s="343"/>
      <c r="I510" s="298" t="s">
        <v>1581</v>
      </c>
      <c r="J510" s="366"/>
      <c r="K510" s="138"/>
      <c r="L510" s="138"/>
      <c r="M510" s="138"/>
      <c r="N510" s="138"/>
      <c r="O510" s="138"/>
      <c r="P510" s="138"/>
      <c r="Q510" s="138"/>
      <c r="R510" s="138"/>
      <c r="S510" s="138"/>
      <c r="T510" s="138"/>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BB510" s="138"/>
      <c r="BC510" s="138"/>
      <c r="BD510" s="138"/>
      <c r="BE510" s="138"/>
      <c r="BF510" s="138"/>
      <c r="BG510" s="138"/>
      <c r="BH510" s="138"/>
      <c r="BI510" s="138"/>
    </row>
    <row r="511" spans="1:61" ht="15" customHeight="1">
      <c r="A511" s="138"/>
      <c r="B511" s="308">
        <v>5</v>
      </c>
      <c r="C511" s="869" t="str">
        <f>IF(Tool!$H$7="Français",G511,IF(Tool!$H$7="Italiano",I511,E511))</f>
        <v>Maximale Glasflächenzahl</v>
      </c>
      <c r="D511" s="308">
        <v>5</v>
      </c>
      <c r="E511" s="319" t="s">
        <v>321</v>
      </c>
      <c r="F511" s="308">
        <v>5</v>
      </c>
      <c r="G511" s="319" t="s">
        <v>323</v>
      </c>
      <c r="H511" s="308"/>
      <c r="I511" s="319" t="s">
        <v>1262</v>
      </c>
      <c r="J511" s="366"/>
      <c r="K511" s="138"/>
      <c r="L511" s="138"/>
      <c r="M511" s="138"/>
      <c r="N511" s="138"/>
      <c r="O511" s="138"/>
      <c r="P511" s="138"/>
      <c r="Q511" s="138"/>
      <c r="R511" s="138"/>
      <c r="S511" s="138"/>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BB511" s="138"/>
      <c r="BC511" s="138"/>
      <c r="BD511" s="138"/>
      <c r="BE511" s="138"/>
      <c r="BF511" s="138"/>
      <c r="BG511" s="138"/>
      <c r="BH511" s="138"/>
      <c r="BI511" s="138"/>
    </row>
    <row r="512" spans="1:61" ht="15" customHeight="1">
      <c r="A512" s="138"/>
      <c r="B512" s="308"/>
      <c r="C512" s="284" t="str">
        <f>IF(Tool!$H$7="Français",G512,IF(Tool!$H$7="Italiano",I512,E512))</f>
        <v>Maximale Glasflächenzahl bezogen auf RaumKriterien</v>
      </c>
      <c r="D512" s="308"/>
      <c r="E512" s="319" t="s">
        <v>2012</v>
      </c>
      <c r="F512" s="308"/>
      <c r="G512" s="319" t="s">
        <v>322</v>
      </c>
      <c r="H512" s="308"/>
      <c r="I512" s="319" t="s">
        <v>1263</v>
      </c>
      <c r="J512" s="366"/>
      <c r="K512" s="138"/>
      <c r="L512" s="138"/>
      <c r="M512" s="138"/>
      <c r="N512" s="138"/>
      <c r="O512" s="138"/>
      <c r="P512" s="138"/>
      <c r="Q512" s="138"/>
      <c r="R512" s="138"/>
      <c r="S512" s="138"/>
      <c r="T512" s="138"/>
      <c r="U512" s="138"/>
      <c r="V512" s="138"/>
      <c r="W512" s="138"/>
      <c r="X512" s="138"/>
      <c r="Y512" s="138"/>
      <c r="Z512" s="138"/>
      <c r="AA512" s="138"/>
      <c r="AB512" s="138"/>
      <c r="AC512" s="138"/>
      <c r="AD512" s="138"/>
      <c r="AE512" s="138"/>
      <c r="AF512" s="138"/>
      <c r="AG512" s="138"/>
      <c r="AH512" s="138"/>
      <c r="AI512" s="138"/>
      <c r="AJ512" s="138"/>
      <c r="AK512" s="138"/>
      <c r="AL512" s="138"/>
      <c r="AM512" s="138"/>
      <c r="AN512" s="138"/>
      <c r="AO512" s="138"/>
      <c r="AP512" s="138"/>
      <c r="AQ512" s="138"/>
      <c r="AR512" s="138"/>
      <c r="AS512" s="138"/>
      <c r="AT512" s="138"/>
      <c r="AU512" s="138"/>
      <c r="AV512" s="138"/>
      <c r="AW512" s="138"/>
      <c r="AX512" s="138"/>
      <c r="AY512" s="138"/>
      <c r="BB512" s="138"/>
      <c r="BC512" s="138"/>
      <c r="BD512" s="138"/>
      <c r="BE512" s="138"/>
      <c r="BF512" s="138"/>
      <c r="BG512" s="138"/>
      <c r="BH512" s="138"/>
      <c r="BI512" s="138"/>
    </row>
    <row r="513" spans="1:61" ht="15" customHeight="1">
      <c r="A513" s="138"/>
      <c r="B513" s="308"/>
      <c r="C513" s="284" t="str">
        <f>IF(Tool!$H$7="Français",G513,IF(Tool!$H$7="Italiano",I513,E513))</f>
        <v>Klimagruppen, aufgeteilt nach Klimastation</v>
      </c>
      <c r="D513" s="308"/>
      <c r="E513" s="319" t="s">
        <v>309</v>
      </c>
      <c r="F513" s="308"/>
      <c r="G513" s="319" t="s">
        <v>324</v>
      </c>
      <c r="H513" s="308"/>
      <c r="I513" s="319" t="s">
        <v>1264</v>
      </c>
      <c r="J513" s="366"/>
      <c r="K513" s="138"/>
      <c r="L513" s="138"/>
      <c r="M513" s="138"/>
      <c r="N513" s="138"/>
      <c r="O513" s="138"/>
      <c r="P513" s="138"/>
      <c r="Q513" s="138"/>
      <c r="R513" s="138"/>
      <c r="S513" s="138"/>
      <c r="T513" s="138"/>
      <c r="U513" s="138"/>
      <c r="V513" s="138"/>
      <c r="W513" s="138"/>
      <c r="X513" s="138"/>
      <c r="Y513" s="138"/>
      <c r="Z513" s="138"/>
      <c r="AA513" s="138"/>
      <c r="AB513" s="138"/>
      <c r="AC513" s="138"/>
      <c r="AD513" s="138"/>
      <c r="AE513" s="138"/>
      <c r="AF513" s="138"/>
      <c r="AG513" s="138"/>
      <c r="AH513" s="138"/>
      <c r="AI513" s="138"/>
      <c r="AJ513" s="138"/>
      <c r="AK513" s="138"/>
      <c r="AL513" s="138"/>
      <c r="AM513" s="138"/>
      <c r="AN513" s="138"/>
      <c r="AO513" s="138"/>
      <c r="AP513" s="138"/>
      <c r="AQ513" s="138"/>
      <c r="AR513" s="138"/>
      <c r="AS513" s="138"/>
      <c r="AT513" s="138"/>
      <c r="AU513" s="138"/>
      <c r="AV513" s="138"/>
      <c r="AW513" s="138"/>
      <c r="AX513" s="138"/>
      <c r="AY513" s="311"/>
      <c r="BB513" s="311"/>
      <c r="BC513" s="311"/>
      <c r="BD513" s="138"/>
      <c r="BE513" s="138"/>
      <c r="BF513" s="138"/>
      <c r="BG513" s="138"/>
      <c r="BH513" s="138"/>
      <c r="BI513" s="138"/>
    </row>
    <row r="514" spans="1:61" ht="15" customHeight="1">
      <c r="A514" s="138"/>
      <c r="B514" s="308"/>
      <c r="C514" s="284" t="str">
        <f>IF(Tool!$H$7="Français",G514,IF(Tool!$H$7="Italiano",I514,E514))</f>
        <v>Wohnen (EFH, MFH), Räume mit bis zu 2 Fassaden, Betondecke (&gt;80 % frei)</v>
      </c>
      <c r="D514" s="308"/>
      <c r="E514" s="319" t="s">
        <v>310</v>
      </c>
      <c r="F514" s="308"/>
      <c r="G514" s="319" t="s">
        <v>326</v>
      </c>
      <c r="H514" s="308"/>
      <c r="I514" s="319" t="s">
        <v>1897</v>
      </c>
      <c r="J514" s="366"/>
      <c r="K514" s="138"/>
      <c r="L514" s="138"/>
      <c r="M514" s="138"/>
      <c r="N514" s="138"/>
      <c r="O514" s="138"/>
      <c r="P514" s="138"/>
      <c r="Q514" s="138"/>
      <c r="R514" s="138"/>
      <c r="S514" s="138"/>
      <c r="T514" s="138"/>
      <c r="U514" s="138"/>
      <c r="V514" s="138"/>
      <c r="W514" s="138"/>
      <c r="X514" s="138"/>
      <c r="Y514" s="138"/>
      <c r="Z514" s="138"/>
      <c r="AA514" s="138"/>
      <c r="AB514" s="138"/>
      <c r="AC514" s="138"/>
      <c r="AD514" s="138"/>
      <c r="AE514" s="138"/>
      <c r="AF514" s="138"/>
      <c r="AG514" s="138"/>
      <c r="AH514" s="138"/>
      <c r="AI514" s="138"/>
      <c r="AJ514" s="138"/>
      <c r="AK514" s="138"/>
      <c r="AL514" s="138"/>
      <c r="AM514" s="138"/>
      <c r="AN514" s="138"/>
      <c r="AO514" s="138"/>
      <c r="AP514" s="138"/>
      <c r="AQ514" s="138"/>
      <c r="AR514" s="138"/>
      <c r="AS514" s="138"/>
      <c r="AT514" s="138"/>
      <c r="AU514" s="138"/>
      <c r="AV514" s="138"/>
      <c r="AW514" s="138"/>
      <c r="AX514" s="138"/>
      <c r="AY514" s="138"/>
      <c r="BB514" s="138"/>
      <c r="BC514" s="138"/>
      <c r="BD514" s="138"/>
      <c r="BE514" s="138"/>
      <c r="BF514" s="138"/>
      <c r="BG514" s="138"/>
      <c r="BH514" s="138"/>
      <c r="BI514" s="138"/>
    </row>
    <row r="515" spans="1:61" ht="15" customHeight="1">
      <c r="A515" s="138"/>
      <c r="B515" s="308"/>
      <c r="C515" s="284" t="str">
        <f>IF(Tool!$H$7="Français",G515,IF(Tool!$H$7="Italiano",I515,E515))</f>
        <v>Wohnen (EFH, MFH), Räume mit bis zu 2 Fassaden, Holzdecke und Zementunterlagsboden mit min. 6 cm oder Anhydrit mit min. 5 cm Stärke</v>
      </c>
      <c r="D515" s="308"/>
      <c r="E515" s="319" t="s">
        <v>311</v>
      </c>
      <c r="F515" s="308"/>
      <c r="G515" s="319" t="s">
        <v>325</v>
      </c>
      <c r="H515" s="308"/>
      <c r="I515" s="319" t="s">
        <v>1898</v>
      </c>
      <c r="J515" s="316"/>
      <c r="K515" s="138"/>
      <c r="L515" s="138"/>
      <c r="M515" s="138"/>
      <c r="N515" s="138"/>
      <c r="O515" s="138"/>
      <c r="P515" s="138"/>
      <c r="Q515" s="138"/>
      <c r="R515" s="138"/>
      <c r="S515" s="138"/>
      <c r="T515" s="138"/>
      <c r="U515" s="138"/>
      <c r="V515" s="138"/>
      <c r="W515" s="138"/>
      <c r="X515" s="138"/>
      <c r="Y515" s="138"/>
      <c r="Z515" s="138"/>
      <c r="AA515" s="138"/>
      <c r="AB515" s="138"/>
      <c r="AC515" s="138"/>
      <c r="AD515" s="138"/>
      <c r="AE515" s="138"/>
      <c r="AF515" s="138"/>
      <c r="AG515" s="138"/>
      <c r="AH515" s="138"/>
      <c r="AI515" s="138"/>
      <c r="AJ515" s="138"/>
      <c r="AK515" s="138"/>
      <c r="AL515" s="138"/>
      <c r="AM515" s="138"/>
      <c r="AN515" s="138"/>
      <c r="AO515" s="138"/>
      <c r="AP515" s="138"/>
      <c r="AQ515" s="138"/>
      <c r="AR515" s="138"/>
      <c r="AS515" s="138"/>
      <c r="AT515" s="138"/>
      <c r="AU515" s="138"/>
      <c r="AV515" s="138"/>
      <c r="AW515" s="138"/>
      <c r="AX515" s="138"/>
      <c r="AY515" s="138"/>
      <c r="BB515" s="138"/>
      <c r="BC515" s="138"/>
      <c r="BD515" s="138"/>
      <c r="BE515" s="138"/>
      <c r="BF515" s="138"/>
      <c r="BG515" s="138"/>
      <c r="BH515" s="138"/>
      <c r="BI515" s="138"/>
    </row>
    <row r="516" spans="1:61" ht="15" customHeight="1">
      <c r="A516" s="138"/>
      <c r="B516" s="308"/>
      <c r="C516" s="284" t="str">
        <f>IF(Tool!$H$7="Français",G516,IF(Tool!$H$7="Italiano",I516,E516))</f>
        <v>Wohnen (EFH, MFH), Räume mit 1 Fassade, Betondecke (&gt;80 % frei) SSE-SSW-Orientierung und Verschattung durch Balkon mit 1 m Tiefe</v>
      </c>
      <c r="D516" s="308"/>
      <c r="E516" s="319" t="s">
        <v>312</v>
      </c>
      <c r="F516" s="308"/>
      <c r="G516" s="319" t="s">
        <v>368</v>
      </c>
      <c r="H516" s="308"/>
      <c r="I516" s="319" t="s">
        <v>1899</v>
      </c>
      <c r="J516" s="316"/>
      <c r="K516" s="138"/>
      <c r="L516" s="138"/>
      <c r="M516" s="138"/>
      <c r="N516" s="138"/>
      <c r="O516" s="138"/>
      <c r="P516" s="138"/>
      <c r="Q516" s="138"/>
      <c r="R516" s="138"/>
      <c r="S516" s="138"/>
      <c r="T516" s="138"/>
      <c r="U516" s="138"/>
      <c r="V516" s="138"/>
      <c r="W516" s="138"/>
      <c r="X516" s="138"/>
      <c r="Y516" s="138"/>
      <c r="Z516" s="138"/>
      <c r="AA516" s="138"/>
      <c r="AB516" s="138"/>
      <c r="AC516" s="138"/>
      <c r="AD516" s="138"/>
      <c r="AE516" s="138"/>
      <c r="AF516" s="138"/>
      <c r="AG516" s="138"/>
      <c r="AH516" s="138"/>
      <c r="AI516" s="138"/>
      <c r="AJ516" s="138"/>
      <c r="AK516" s="138"/>
      <c r="AL516" s="138"/>
      <c r="AM516" s="138"/>
      <c r="AN516" s="138"/>
      <c r="AO516" s="138"/>
      <c r="AP516" s="138"/>
      <c r="AQ516" s="138"/>
      <c r="AR516" s="138"/>
      <c r="AS516" s="138"/>
      <c r="AT516" s="138"/>
      <c r="AU516" s="138"/>
      <c r="AV516" s="138"/>
      <c r="AW516" s="138"/>
      <c r="AX516" s="138"/>
      <c r="AY516" s="138"/>
      <c r="BB516" s="138"/>
      <c r="BC516" s="138"/>
      <c r="BD516" s="138"/>
      <c r="BE516" s="138"/>
      <c r="BF516" s="138"/>
      <c r="BG516" s="138"/>
      <c r="BH516" s="138"/>
      <c r="BI516" s="138"/>
    </row>
    <row r="517" spans="1:61" ht="15" customHeight="1">
      <c r="A517" s="138"/>
      <c r="B517" s="308"/>
      <c r="C517" s="284" t="str">
        <f>IF(Tool!$H$7="Français",G517,IF(Tool!$H$7="Italiano",I517,E517))</f>
        <v>Einzelbüro, Gruppenbüro, Räume mit bis zu 2 Fassaden, Betondecke (&gt; 40 % frei) und automatische Steuerung des Sonnenschutzes, G_x0002_Wert Glas ≤ 30 %</v>
      </c>
      <c r="D517" s="308"/>
      <c r="E517" s="319" t="s">
        <v>313</v>
      </c>
      <c r="F517" s="308"/>
      <c r="G517" s="319" t="s">
        <v>384</v>
      </c>
      <c r="H517" s="308"/>
      <c r="I517" s="319" t="s">
        <v>1265</v>
      </c>
      <c r="J517" s="316"/>
      <c r="K517" s="138"/>
      <c r="L517" s="138"/>
      <c r="M517" s="138"/>
      <c r="N517" s="138"/>
      <c r="O517" s="138"/>
      <c r="P517" s="138"/>
      <c r="Q517" s="138"/>
      <c r="R517" s="138"/>
      <c r="S517" s="138"/>
      <c r="T517" s="138"/>
      <c r="U517" s="138"/>
      <c r="V517" s="138"/>
      <c r="W517" s="138"/>
      <c r="X517" s="138"/>
      <c r="Y517" s="138"/>
      <c r="Z517" s="138"/>
      <c r="AA517" s="138"/>
      <c r="AB517" s="138"/>
      <c r="AC517" s="138"/>
      <c r="AD517" s="138"/>
      <c r="AE517" s="138" t="s">
        <v>28</v>
      </c>
      <c r="AF517" s="138"/>
      <c r="AG517" s="138"/>
      <c r="AH517" s="138"/>
      <c r="AI517" s="138"/>
      <c r="AJ517" s="138"/>
      <c r="AK517" s="138"/>
      <c r="AL517" s="138"/>
      <c r="AM517" s="138"/>
      <c r="AN517" s="138"/>
      <c r="AO517" s="138"/>
      <c r="AP517" s="138"/>
      <c r="AQ517" s="138"/>
      <c r="AR517" s="138"/>
      <c r="AS517" s="138"/>
      <c r="AT517" s="138"/>
      <c r="AU517" s="138"/>
      <c r="AV517" s="138"/>
      <c r="AW517" s="138"/>
      <c r="AX517" s="138"/>
      <c r="AY517" s="138"/>
      <c r="BB517" s="138"/>
      <c r="BC517" s="138"/>
      <c r="BD517" s="138"/>
      <c r="BE517" s="138"/>
      <c r="BF517" s="138"/>
      <c r="BG517" s="138"/>
      <c r="BH517" s="138"/>
      <c r="BI517" s="138"/>
    </row>
    <row r="518" spans="1:61" ht="15" customHeight="1">
      <c r="A518" s="138"/>
      <c r="B518" s="308"/>
      <c r="C518" s="284" t="str">
        <f>IF(Tool!$H$7="Français",G518,IF(Tool!$H$7="Italiano",I518,E518))</f>
        <v>Klimagruppe</v>
      </c>
      <c r="D518" s="308"/>
      <c r="E518" s="319" t="s">
        <v>314</v>
      </c>
      <c r="F518" s="308"/>
      <c r="G518" s="319" t="s">
        <v>327</v>
      </c>
      <c r="H518" s="308"/>
      <c r="I518" s="319" t="s">
        <v>1266</v>
      </c>
      <c r="J518" s="367"/>
      <c r="K518" s="138"/>
      <c r="L518" s="138"/>
      <c r="M518" s="138"/>
      <c r="N518" s="138"/>
      <c r="O518" s="138"/>
      <c r="P518" s="138"/>
      <c r="Q518" s="138"/>
      <c r="R518" s="138"/>
      <c r="S518" s="138"/>
      <c r="T518" s="138"/>
      <c r="U518" s="138"/>
      <c r="V518" s="138"/>
      <c r="W518" s="138"/>
      <c r="X518" s="138"/>
      <c r="Y518" s="138"/>
      <c r="Z518" s="138"/>
      <c r="AA518" s="138"/>
      <c r="AB518" s="138"/>
      <c r="AC518" s="138"/>
      <c r="AD518" s="138"/>
      <c r="AE518" s="138"/>
      <c r="AF518" s="138"/>
      <c r="AG518" s="138"/>
      <c r="AH518" s="138"/>
      <c r="AI518" s="138"/>
      <c r="AJ518" s="138"/>
      <c r="AK518" s="138"/>
      <c r="AL518" s="138"/>
      <c r="AM518" s="138"/>
      <c r="AN518" s="138"/>
      <c r="AO518" s="138"/>
      <c r="AP518" s="138"/>
      <c r="AQ518" s="138"/>
      <c r="AR518" s="138"/>
      <c r="AS518" s="138"/>
      <c r="AT518" s="138"/>
      <c r="AU518" s="138"/>
      <c r="AV518" s="138"/>
      <c r="AW518" s="138"/>
      <c r="AX518" s="138"/>
      <c r="AY518" s="138"/>
      <c r="BB518" s="138"/>
      <c r="BC518" s="138"/>
      <c r="BD518" s="138"/>
      <c r="BE518" s="138"/>
      <c r="BF518" s="138"/>
      <c r="BG518" s="138"/>
      <c r="BH518" s="138"/>
      <c r="BI518" s="138"/>
    </row>
    <row r="519" spans="1:61" ht="15" customHeight="1">
      <c r="A519" s="138"/>
      <c r="B519" s="308"/>
      <c r="C519" s="284" t="str">
        <f>IF(Tool!$H$7="Français",G519,IF(Tool!$H$7="Italiano",I519,E519))</f>
        <v>Ortschaften</v>
      </c>
      <c r="D519" s="308"/>
      <c r="E519" s="319" t="s">
        <v>315</v>
      </c>
      <c r="F519" s="308"/>
      <c r="G519" s="319" t="s">
        <v>328</v>
      </c>
      <c r="H519" s="308"/>
      <c r="I519" s="319" t="s">
        <v>1267</v>
      </c>
      <c r="J519" s="316"/>
      <c r="K519" s="138"/>
      <c r="L519" s="138"/>
      <c r="M519" s="138"/>
      <c r="N519" s="138"/>
      <c r="O519" s="138"/>
      <c r="P519" s="138"/>
      <c r="Q519" s="138"/>
      <c r="R519" s="138"/>
      <c r="S519" s="138"/>
      <c r="T519" s="138"/>
      <c r="U519" s="138"/>
      <c r="V519" s="138"/>
      <c r="W519" s="138"/>
      <c r="X519" s="138"/>
      <c r="Y519" s="138"/>
      <c r="Z519" s="138"/>
      <c r="AA519" s="138"/>
      <c r="AB519" s="138"/>
      <c r="AC519" s="138"/>
      <c r="AD519" s="138"/>
      <c r="AE519" s="138"/>
      <c r="AF519" s="138"/>
      <c r="AG519" s="138"/>
      <c r="AH519" s="138"/>
      <c r="AI519" s="138"/>
      <c r="AJ519" s="138"/>
      <c r="AK519" s="138"/>
      <c r="AL519" s="138"/>
      <c r="AM519" s="138"/>
      <c r="AN519" s="138"/>
      <c r="AO519" s="138"/>
      <c r="AP519" s="138"/>
      <c r="AQ519" s="138"/>
      <c r="AR519" s="138"/>
      <c r="AS519" s="138"/>
      <c r="AT519" s="138"/>
      <c r="AU519" s="138"/>
      <c r="AV519" s="138"/>
      <c r="AW519" s="138"/>
      <c r="AX519" s="138"/>
      <c r="AY519" s="138"/>
      <c r="BB519" s="138"/>
      <c r="BC519" s="138"/>
      <c r="BD519" s="138"/>
      <c r="BE519" s="138"/>
      <c r="BF519" s="138"/>
      <c r="BG519" s="138"/>
      <c r="BH519" s="138"/>
      <c r="BI519" s="138"/>
    </row>
    <row r="520" spans="1:61" ht="15" customHeight="1">
      <c r="A520" s="138"/>
      <c r="B520" s="308"/>
      <c r="C520" s="284" t="str">
        <f>IF(Tool!$H$7="Français",G520,IF(Tool!$H$7="Italiano",I520,E520))</f>
        <v>Locarno-Monti, Lugano, Magadino</v>
      </c>
      <c r="D520" s="308"/>
      <c r="E520" s="319" t="s">
        <v>316</v>
      </c>
      <c r="F520" s="308"/>
      <c r="G520" s="319" t="s">
        <v>316</v>
      </c>
      <c r="H520" s="308"/>
      <c r="I520" s="319" t="s">
        <v>316</v>
      </c>
      <c r="J520" s="368"/>
      <c r="K520" s="138"/>
      <c r="L520" s="138"/>
      <c r="M520" s="138"/>
      <c r="N520" s="138"/>
      <c r="O520" s="138"/>
      <c r="P520" s="138"/>
      <c r="Q520" s="138"/>
      <c r="R520" s="138"/>
      <c r="S520" s="138"/>
      <c r="T520" s="138"/>
      <c r="U520" s="138"/>
      <c r="V520" s="138"/>
      <c r="W520" s="138"/>
      <c r="X520" s="138"/>
      <c r="Y520" s="138"/>
      <c r="Z520" s="138"/>
      <c r="AA520" s="138"/>
      <c r="AB520" s="138"/>
      <c r="AC520" s="138"/>
      <c r="AD520" s="138"/>
      <c r="AE520" s="138" t="s">
        <v>28</v>
      </c>
      <c r="AF520" s="138"/>
      <c r="AG520" s="138"/>
      <c r="AH520" s="138"/>
      <c r="AI520" s="138"/>
      <c r="AJ520" s="138"/>
      <c r="AK520" s="138"/>
      <c r="AL520" s="138"/>
      <c r="AM520" s="138"/>
      <c r="AN520" s="138"/>
      <c r="AO520" s="138"/>
      <c r="AP520" s="138"/>
      <c r="AQ520" s="138"/>
      <c r="AR520" s="138"/>
      <c r="AS520" s="138"/>
      <c r="AT520" s="138"/>
      <c r="AU520" s="138"/>
      <c r="AV520" s="138"/>
      <c r="AW520" s="138"/>
      <c r="AX520" s="138"/>
      <c r="AY520" s="138"/>
      <c r="BB520" s="138"/>
      <c r="BC520" s="138"/>
      <c r="BD520" s="138"/>
      <c r="BE520" s="138"/>
      <c r="BF520" s="138"/>
      <c r="BG520" s="138"/>
      <c r="BH520" s="138"/>
      <c r="BI520" s="138"/>
    </row>
    <row r="521" spans="1:61" ht="15" customHeight="1">
      <c r="A521" s="138"/>
      <c r="B521" s="308"/>
      <c r="C521" s="284" t="str">
        <f>IF(Tool!$H$7="Français",G521,IF(Tool!$H$7="Italiano",I521,E521))</f>
        <v>Genève-Cointrin, Neuchâtel, Pully, Sion</v>
      </c>
      <c r="D521" s="308"/>
      <c r="E521" s="319" t="s">
        <v>317</v>
      </c>
      <c r="F521" s="308"/>
      <c r="G521" s="319" t="s">
        <v>317</v>
      </c>
      <c r="H521" s="308"/>
      <c r="I521" s="319" t="s">
        <v>317</v>
      </c>
      <c r="J521" s="361"/>
      <c r="K521" s="359"/>
      <c r="L521" s="359"/>
      <c r="M521" s="138"/>
      <c r="N521" s="138"/>
      <c r="O521" s="138"/>
      <c r="P521" s="138"/>
      <c r="Q521" s="138"/>
      <c r="R521" s="138"/>
      <c r="S521" s="138"/>
      <c r="T521" s="138"/>
      <c r="U521" s="138"/>
      <c r="V521" s="138"/>
      <c r="W521" s="138"/>
      <c r="X521" s="138"/>
      <c r="Y521" s="138"/>
      <c r="Z521" s="138"/>
      <c r="AA521" s="138"/>
      <c r="AB521" s="138"/>
      <c r="AC521" s="138"/>
      <c r="AD521" s="138"/>
      <c r="AE521" s="138" t="s">
        <v>28</v>
      </c>
      <c r="AF521" s="138"/>
      <c r="AG521" s="138"/>
      <c r="AH521" s="138"/>
      <c r="AI521" s="138"/>
      <c r="AJ521" s="138"/>
      <c r="AK521" s="138"/>
      <c r="AL521" s="138"/>
      <c r="AM521" s="138"/>
      <c r="AN521" s="138"/>
      <c r="AO521" s="138"/>
      <c r="AP521" s="138"/>
      <c r="AQ521" s="138"/>
      <c r="AR521" s="138"/>
      <c r="AS521" s="138"/>
      <c r="AT521" s="138"/>
      <c r="AU521" s="138"/>
      <c r="AV521" s="138"/>
      <c r="AW521" s="138"/>
      <c r="AX521" s="311"/>
      <c r="AY521" s="138"/>
      <c r="BB521" s="138"/>
      <c r="BC521" s="138"/>
      <c r="BD521" s="138"/>
      <c r="BE521" s="138"/>
      <c r="BF521" s="138"/>
      <c r="BG521" s="138"/>
      <c r="BH521" s="138"/>
      <c r="BI521" s="138"/>
    </row>
    <row r="522" spans="1:61" ht="15" customHeight="1">
      <c r="A522" s="138"/>
      <c r="B522" s="308"/>
      <c r="C522" s="284" t="str">
        <f>IF(Tool!$H$7="Français",G522,IF(Tool!$H$7="Italiano",I522,E522))</f>
        <v>Aigle, Altdorf, Basel-Binningen, Buchs-Aarau, Chur, Luzern, Schaffhausen, Vaduz, Bern, Liebefeld, Glarus, Güttingen, Interlaken, Payerne, Rünenberg, St. Gallen, Wynau, Zürich, Kloten, Zürich-Meteo Schweiz</v>
      </c>
      <c r="D522" s="308"/>
      <c r="E522" s="319" t="s">
        <v>355</v>
      </c>
      <c r="F522" s="308"/>
      <c r="G522" s="319" t="s">
        <v>371</v>
      </c>
      <c r="H522" s="308"/>
      <c r="I522" s="319" t="s">
        <v>1268</v>
      </c>
      <c r="J522" s="368"/>
      <c r="K522" s="316"/>
      <c r="L522" s="316"/>
      <c r="M522" s="138"/>
      <c r="N522" s="138"/>
      <c r="O522" s="138"/>
      <c r="P522" s="138"/>
      <c r="Q522" s="138"/>
      <c r="R522" s="138"/>
      <c r="S522" s="138"/>
      <c r="T522" s="138"/>
      <c r="U522" s="138"/>
      <c r="V522" s="138"/>
      <c r="W522" s="138"/>
      <c r="X522" s="138"/>
      <c r="Y522" s="138"/>
      <c r="Z522" s="138"/>
      <c r="AA522" s="138"/>
      <c r="AB522" s="138"/>
      <c r="AC522" s="138"/>
      <c r="AD522" s="138"/>
      <c r="AE522" s="138" t="s">
        <v>28</v>
      </c>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BB522" s="138"/>
      <c r="BC522" s="138"/>
      <c r="BD522" s="138"/>
      <c r="BE522" s="138"/>
      <c r="BF522" s="138"/>
      <c r="BG522" s="138"/>
      <c r="BH522" s="138"/>
      <c r="BI522" s="138"/>
    </row>
    <row r="523" spans="1:61" ht="15" customHeight="1">
      <c r="A523" s="138"/>
      <c r="B523" s="308"/>
      <c r="C523" s="284" t="str">
        <f>IF(Tool!$H$7="Français",G523,IF(Tool!$H$7="Italiano",I523,E523))</f>
        <v>Adelboden, Disentis, Engelberg, La Chaux-de-Fonds, La Frétaz, Montana, Piotta, Robbia</v>
      </c>
      <c r="D523" s="308"/>
      <c r="E523" s="319" t="s">
        <v>318</v>
      </c>
      <c r="F523" s="308"/>
      <c r="G523" s="319" t="s">
        <v>318</v>
      </c>
      <c r="H523" s="308"/>
      <c r="I523" s="319" t="s">
        <v>318</v>
      </c>
      <c r="J523" s="368"/>
      <c r="K523" s="138"/>
      <c r="L523" s="138"/>
      <c r="M523" s="359"/>
      <c r="N523" s="359"/>
      <c r="O523" s="138"/>
      <c r="P523" s="138"/>
      <c r="Q523" s="138"/>
      <c r="R523" s="138"/>
      <c r="S523" s="138"/>
      <c r="T523" s="138"/>
      <c r="U523" s="138"/>
      <c r="V523" s="138"/>
      <c r="W523" s="138"/>
      <c r="X523" s="138"/>
      <c r="Y523" s="138"/>
      <c r="Z523" s="138"/>
      <c r="AA523" s="138"/>
      <c r="AB523" s="138"/>
      <c r="AC523" s="138"/>
      <c r="AD523" s="138"/>
      <c r="AE523" s="138" t="s">
        <v>28</v>
      </c>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BB523" s="138"/>
      <c r="BC523" s="138"/>
      <c r="BD523" s="138"/>
      <c r="BE523" s="138"/>
      <c r="BF523" s="138"/>
      <c r="BG523" s="138"/>
      <c r="BH523" s="138"/>
      <c r="BI523" s="138"/>
    </row>
    <row r="524" spans="1:61" ht="15" customHeight="1">
      <c r="A524" s="138"/>
      <c r="B524" s="308"/>
      <c r="C524" s="284" t="str">
        <f>IF(Tool!$H$7="Français",G524,IF(Tool!$H$7="Italiano",I524,E524))</f>
        <v>Davos, Samedan, San Bernardino, Scuol, Ulrichen, Zermatt, Grand-St-Bernard</v>
      </c>
      <c r="D524" s="308"/>
      <c r="E524" s="319" t="s">
        <v>319</v>
      </c>
      <c r="F524" s="308"/>
      <c r="G524" s="319" t="s">
        <v>319</v>
      </c>
      <c r="H524" s="308"/>
      <c r="I524" s="319" t="s">
        <v>319</v>
      </c>
      <c r="J524" s="361"/>
      <c r="K524" s="138"/>
      <c r="L524" s="138"/>
      <c r="M524" s="316"/>
      <c r="N524" s="316"/>
      <c r="O524" s="138"/>
      <c r="P524" s="138"/>
      <c r="Q524" s="138"/>
      <c r="R524" s="138"/>
      <c r="S524" s="138"/>
      <c r="T524" s="138"/>
      <c r="U524" s="138"/>
      <c r="V524" s="138"/>
      <c r="W524" s="138"/>
      <c r="X524" s="138"/>
      <c r="Y524" s="138"/>
      <c r="Z524" s="138"/>
      <c r="AA524" s="138"/>
      <c r="AB524" s="138"/>
      <c r="AC524" s="138"/>
      <c r="AD524" s="138"/>
      <c r="AE524" s="138" t="s">
        <v>28</v>
      </c>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BB524" s="138"/>
      <c r="BC524" s="138"/>
      <c r="BD524" s="138"/>
      <c r="BE524" s="138"/>
      <c r="BF524" s="138"/>
      <c r="BG524" s="138"/>
      <c r="BH524" s="138"/>
      <c r="BI524" s="138"/>
    </row>
    <row r="525" spans="1:61" ht="15" customHeight="1">
      <c r="A525" s="138"/>
      <c r="B525" s="308"/>
      <c r="C525" s="284" t="str">
        <f>IF(Tool!$H$7="Français",G525,IF(Tool!$H$7="Italiano",I525,E525))</f>
        <v>Aus: Anwendungshilfe zu den Gebäudestandards Minergie / Minergie-P / Minergie-A, Aktuelle Version.1, S. 48.</v>
      </c>
      <c r="D525" s="308"/>
      <c r="E525" s="319" t="s">
        <v>320</v>
      </c>
      <c r="F525" s="308"/>
      <c r="G525" s="319" t="s">
        <v>369</v>
      </c>
      <c r="H525" s="308"/>
      <c r="I525" s="319" t="s">
        <v>1269</v>
      </c>
      <c r="J525" s="367"/>
      <c r="K525" s="138"/>
      <c r="L525" s="138"/>
      <c r="M525" s="138"/>
      <c r="N525" s="138"/>
      <c r="O525" s="138"/>
      <c r="P525" s="138"/>
      <c r="Q525" s="138"/>
      <c r="R525" s="138"/>
      <c r="S525" s="138"/>
      <c r="T525" s="138"/>
      <c r="U525" s="138"/>
      <c r="V525" s="138"/>
      <c r="W525" s="138"/>
      <c r="X525" s="138"/>
      <c r="Y525" s="138"/>
      <c r="Z525" s="138"/>
      <c r="AA525" s="138"/>
      <c r="AB525" s="138"/>
      <c r="AC525" s="138"/>
      <c r="AD525" s="138"/>
      <c r="AE525" s="138" t="s">
        <v>28</v>
      </c>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BB525" s="138"/>
      <c r="BC525" s="138"/>
      <c r="BD525" s="138"/>
      <c r="BE525" s="138"/>
      <c r="BF525" s="138"/>
      <c r="BG525" s="138"/>
      <c r="BH525" s="138"/>
      <c r="BI525" s="138"/>
    </row>
    <row r="526" spans="1:61" ht="15" customHeight="1">
      <c r="A526" s="138"/>
      <c r="B526" s="342">
        <v>6</v>
      </c>
      <c r="C526" s="869" t="str">
        <f>IF(Tool!$H$7="Français",G526,IF(Tool!$H$7="Italiano",I526,E526))</f>
        <v>Distanzmessungen</v>
      </c>
      <c r="D526" s="342">
        <v>6</v>
      </c>
      <c r="E526" s="294" t="s">
        <v>216</v>
      </c>
      <c r="F526" s="342">
        <v>6</v>
      </c>
      <c r="G526" s="294" t="s">
        <v>248</v>
      </c>
      <c r="H526" s="342"/>
      <c r="I526" s="294" t="s">
        <v>1270</v>
      </c>
      <c r="J526" s="367"/>
      <c r="K526" s="138"/>
      <c r="L526" s="138"/>
      <c r="M526" s="138"/>
      <c r="N526" s="138"/>
      <c r="O526" s="138"/>
      <c r="P526" s="138"/>
      <c r="Q526" s="138"/>
      <c r="R526" s="138"/>
      <c r="S526" s="138"/>
      <c r="T526" s="138"/>
      <c r="U526" s="138"/>
      <c r="V526" s="138"/>
      <c r="W526" s="138"/>
      <c r="X526" s="138"/>
      <c r="Y526" s="138"/>
      <c r="Z526" s="138"/>
      <c r="AA526" s="138"/>
      <c r="AB526" s="138"/>
      <c r="AC526" s="138"/>
      <c r="AD526" s="138"/>
      <c r="AE526" s="138" t="s">
        <v>28</v>
      </c>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BB526" s="138"/>
      <c r="BC526" s="138"/>
      <c r="BD526" s="311"/>
      <c r="BE526" s="138"/>
      <c r="BF526" s="138"/>
      <c r="BG526" s="138"/>
      <c r="BH526" s="138"/>
      <c r="BI526" s="138"/>
    </row>
    <row r="527" spans="1:61" ht="15" customHeight="1">
      <c r="A527" s="138"/>
      <c r="B527" s="308"/>
      <c r="C527" s="284" t="str">
        <f>IF(Tool!$H$7="Français",G527,IF(Tool!$H$7="Italiano",I527,E527))</f>
        <v>Die Entfernung zwischen dem bewerteten Bauwerk und den verschiedenen Angeboten in der Umgebung sind mit dem Routenplaner von Google Maps messbar (relevant ist jeweils die Gehdistanz):</v>
      </c>
      <c r="D527" s="308"/>
      <c r="E527" s="296" t="s">
        <v>356</v>
      </c>
      <c r="F527" s="308"/>
      <c r="G527" s="296" t="s">
        <v>370</v>
      </c>
      <c r="H527" s="308"/>
      <c r="I527" s="296" t="s">
        <v>1900</v>
      </c>
      <c r="J527" s="367"/>
      <c r="K527" s="138"/>
      <c r="L527" s="138"/>
      <c r="M527" s="138"/>
      <c r="N527" s="138"/>
      <c r="O527" s="138"/>
      <c r="P527" s="138"/>
      <c r="Q527" s="138"/>
      <c r="R527" s="138"/>
      <c r="S527" s="138"/>
      <c r="T527" s="138"/>
      <c r="U527" s="138"/>
      <c r="V527" s="138"/>
      <c r="W527" s="138"/>
      <c r="X527" s="138"/>
      <c r="Y527" s="138"/>
      <c r="Z527" s="138"/>
      <c r="AA527" s="138"/>
      <c r="AB527" s="138"/>
      <c r="AC527" s="138"/>
      <c r="AD527" s="138"/>
      <c r="AE527" s="138" t="s">
        <v>28</v>
      </c>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BB527" s="138"/>
      <c r="BC527" s="138"/>
      <c r="BD527" s="138"/>
      <c r="BE527" s="138"/>
      <c r="BF527" s="138"/>
      <c r="BG527" s="138"/>
      <c r="BH527" s="138"/>
      <c r="BI527" s="138"/>
    </row>
    <row r="528" spans="1:61" ht="15" customHeight="1">
      <c r="A528" s="138"/>
      <c r="B528" s="308"/>
      <c r="C528" s="284" t="str">
        <f>IF(Tool!$H$7="Français",G528,IF(Tool!$H$7="Italiano",I528,E528))</f>
        <v>Beim Kriterium 121 ''Erreichbarkeit &amp; Nutzungsangebot im Quartierumfeld'' wird das umliegende Angebot gemäss folgenden Kriterien bewertet:</v>
      </c>
      <c r="D528" s="308"/>
      <c r="E528" s="296" t="str">
        <f>"Beim Kriterium "&amp;AQ26&amp;" ''"&amp;AR26&amp;"'' wird das umliegende Angebot gemäss folgenden Kriterien bewertet:"</f>
        <v>Beim Kriterium 121 ''Erreichbarkeit &amp; Nutzungsangebot im Quartierumfeld'' wird das umliegende Angebot gemäss folgenden Kriterien bewertet:</v>
      </c>
      <c r="F528" s="308"/>
      <c r="G528" s="296" t="str">
        <f>"Dans le cas du critère "&amp;AQ26&amp;" ''"&amp;AR26&amp;"'', on considère une offre comme présente dans les environs de la construction évaluée si elle remplit les critères suivants :"</f>
        <v>Dans le cas du critère 121 ''Erreichbarkeit &amp; Nutzungsangebot im Quartierumfeld'', on considère une offre comme présente dans les environs de la construction évaluée si elle remplit les critères suivants :</v>
      </c>
      <c r="H528" s="308"/>
      <c r="I528" s="296" t="str">
        <f>"Per il criterio "&amp;AQ26&amp;" ''"&amp;AR26&amp;"'', l'offerta circostante viene valutata in base ai seguenti criteri:"</f>
      </c>
      <c r="J528" s="367"/>
      <c r="K528" s="138"/>
      <c r="L528" s="138"/>
      <c r="M528" s="138"/>
      <c r="N528" s="138"/>
      <c r="O528" s="138"/>
      <c r="P528" s="138"/>
      <c r="Q528" s="138"/>
      <c r="R528" s="138"/>
      <c r="S528" s="138"/>
      <c r="T528" s="138"/>
      <c r="U528" s="138"/>
      <c r="V528" s="138"/>
      <c r="W528" s="138"/>
      <c r="X528" s="138"/>
      <c r="Y528" s="138"/>
      <c r="Z528" s="138"/>
      <c r="AA528" s="138"/>
      <c r="AB528" s="138"/>
      <c r="AC528" s="138"/>
      <c r="AD528" s="138"/>
      <c r="AE528" s="138" t="s">
        <v>28</v>
      </c>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BB528" s="138"/>
      <c r="BC528" s="138"/>
      <c r="BD528" s="138"/>
      <c r="BE528" s="138"/>
      <c r="BF528" s="138"/>
      <c r="BG528" s="138"/>
      <c r="BH528" s="138"/>
      <c r="BI528" s="138"/>
    </row>
    <row r="529" spans="1:61" ht="15" customHeight="1">
      <c r="A529" s="138"/>
      <c r="B529" s="300"/>
      <c r="C529" s="284" t="str">
        <f>IF(Tool!$H$7="Français",G529,IF(Tool!$H$7="Italiano",I529,E529))</f>
        <v>Zu Google Maps</v>
      </c>
      <c r="D529" s="300"/>
      <c r="E529" s="296" t="s">
        <v>98</v>
      </c>
      <c r="F529" s="300"/>
      <c r="G529" s="296" t="s">
        <v>97</v>
      </c>
      <c r="H529" s="300"/>
      <c r="I529" s="296" t="s">
        <v>1272</v>
      </c>
      <c r="J529" s="367"/>
      <c r="K529" s="138"/>
      <c r="L529" s="138"/>
      <c r="M529" s="138"/>
      <c r="N529" s="138"/>
      <c r="O529" s="138"/>
      <c r="P529" s="138"/>
      <c r="Q529" s="138"/>
      <c r="R529" s="138"/>
      <c r="S529" s="138"/>
      <c r="T529" s="138"/>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BB529" s="138"/>
      <c r="BC529" s="138"/>
      <c r="BD529" s="138"/>
      <c r="BE529" s="138"/>
      <c r="BF529" s="138"/>
      <c r="BG529" s="138"/>
      <c r="BH529" s="138"/>
      <c r="BI529" s="138"/>
    </row>
    <row r="530" spans="1:61" ht="15" customHeight="1">
      <c r="A530" s="138"/>
      <c r="B530" s="308"/>
      <c r="C530" s="284" t="str">
        <f>IF(Tool!$H$7="Français",G530,IF(Tool!$H$7="Italiano",I530,E530))</f>
        <v>- Mindestens ein Angebot zum Einkaufen für den täglichen Bedarf (Lebensmittelgeschäft) in einer Gehdistanz von max. 500m (ausser bei Schulen Primarschule und Sek I)
- Bei Schulen der Primarstufe und Sek I: Mindestens ein Angebot einer schulischen Tagesstruktur (Hort, Mittagstisch, Tagesschule) in einer Gehdistanz von max. 500m.
- Mindestens ein gastronomisches Angebot (Restaurant, Café, Mensa usw.) soll vorhanden sein. In Agglomeration und Zentren: in einer Gehdistanz von max. 500 m. Auf dem Land: in einer Gehdistanz von max. 750 m.
- Mindestens ein Angebot, das öffentlich zur Erholung genutzt werden kann (Aussen- /Freiräume mit Sitzmöglichkeit, Park, Platz usw.), soll vorhanden sein. In Agglomeration und Zentren: in einer Gehdistanz von max. 500 m. Auf dem Land: in einer Gehdistanz von max. 750 m.
- Mindestens eine soziale Infrastruktur (Kindergarten, Primarschule, Quartierzentrum usw.) soll vorhanden sein. In Agglomeration und Zentren: in einer Gehdistanz von max. 500 m. Auf dem Land: in einer Gehdistanz von max. 750 m.</v>
      </c>
      <c r="D530" s="308"/>
      <c r="E530" s="344" t="s">
        <v>1271</v>
      </c>
      <c r="F530" s="308"/>
      <c r="G530" s="344" t="s">
        <v>1917</v>
      </c>
      <c r="H530" s="308"/>
      <c r="I530" s="344" t="s">
        <v>1901</v>
      </c>
      <c r="J530" s="290"/>
      <c r="K530" s="138"/>
      <c r="L530" s="138"/>
      <c r="M530" s="138"/>
      <c r="N530" s="138"/>
      <c r="O530" s="138"/>
      <c r="P530" s="138"/>
      <c r="Q530" s="138"/>
      <c r="R530" s="138"/>
      <c r="S530" s="138"/>
      <c r="T530" s="138"/>
      <c r="U530" s="138"/>
      <c r="V530" s="138"/>
      <c r="W530" s="138"/>
      <c r="X530" s="138"/>
      <c r="Y530" s="138"/>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BB530" s="138"/>
      <c r="BC530" s="138"/>
      <c r="BD530" s="138"/>
      <c r="BE530" s="138"/>
      <c r="BF530" s="138"/>
      <c r="BG530" s="138"/>
      <c r="BH530" s="138"/>
      <c r="BI530" s="138"/>
    </row>
    <row r="531" spans="1:61" ht="15" customHeight="1">
      <c r="A531" s="138"/>
      <c r="B531" s="343"/>
      <c r="C531" s="284" t="str">
        <f>IF(Tool!$H$7="Français",G531,IF(Tool!$H$7="Italiano",I531,E531))</f>
        <v>Fehlende Einrichtungen im Umfeld könnten mit Angeboten in der geplanten Liegenschaft kompensiert werden.</v>
      </c>
      <c r="D531" s="343"/>
      <c r="E531" s="298" t="s">
        <v>99</v>
      </c>
      <c r="F531" s="343"/>
      <c r="G531" s="298" t="s">
        <v>398</v>
      </c>
      <c r="H531" s="343"/>
      <c r="I531" s="298" t="s">
        <v>1273</v>
      </c>
      <c r="J531" s="315"/>
      <c r="K531" s="138"/>
      <c r="L531" s="138"/>
      <c r="M531" s="138"/>
      <c r="N531" s="138"/>
      <c r="O531" s="138"/>
      <c r="P531" s="138"/>
      <c r="Q531" s="138"/>
      <c r="R531" s="138"/>
      <c r="S531" s="138"/>
      <c r="T531" s="138"/>
      <c r="U531" s="138"/>
      <c r="V531" s="138"/>
      <c r="W531" s="138"/>
      <c r="X531" s="138"/>
      <c r="Y531" s="138"/>
      <c r="Z531" s="138"/>
      <c r="AA531" s="138"/>
      <c r="AB531" s="138"/>
      <c r="AC531" s="138"/>
      <c r="AD531" s="138"/>
      <c r="AE531" s="138" t="s">
        <v>28</v>
      </c>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BB531" s="138"/>
      <c r="BC531" s="138"/>
      <c r="BD531" s="138"/>
      <c r="BE531" s="311"/>
      <c r="BF531" s="311"/>
      <c r="BG531" s="311"/>
      <c r="BH531" s="311"/>
      <c r="BI531" s="311"/>
    </row>
    <row r="532" spans="1:61" ht="15" customHeight="1">
      <c r="A532" s="138"/>
      <c r="B532" s="299">
        <v>7</v>
      </c>
      <c r="C532" s="869" t="str">
        <f>IF(Tool!$H$7="Français",G532,IF(Tool!$H$7="Italiano",I532,E532))</f>
        <v>Beschaffungen der öffentlichen Hand</v>
      </c>
      <c r="D532" s="299">
        <v>7</v>
      </c>
      <c r="E532" s="294" t="s">
        <v>333</v>
      </c>
      <c r="F532" s="299">
        <v>7</v>
      </c>
      <c r="G532" s="294" t="s">
        <v>334</v>
      </c>
      <c r="H532" s="299"/>
      <c r="I532" s="294" t="s">
        <v>1277</v>
      </c>
      <c r="J532" s="315"/>
      <c r="K532" s="138"/>
      <c r="L532" s="138"/>
      <c r="M532" s="138"/>
      <c r="N532" s="138"/>
      <c r="O532" s="138"/>
      <c r="P532" s="138"/>
      <c r="Q532" s="138"/>
      <c r="R532" s="138"/>
      <c r="S532" s="138"/>
      <c r="T532" s="138"/>
      <c r="U532" s="138"/>
      <c r="V532" s="138"/>
      <c r="W532" s="138"/>
      <c r="X532" s="138"/>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BB532" s="138"/>
      <c r="BC532" s="138"/>
      <c r="BD532" s="138"/>
      <c r="BE532" s="138"/>
      <c r="BF532" s="138"/>
      <c r="BG532" s="138"/>
      <c r="BH532" s="138"/>
      <c r="BI532" s="138"/>
    </row>
    <row r="533" spans="1:61" ht="15" customHeight="1">
      <c r="A533" s="138"/>
      <c r="B533" s="300"/>
      <c r="C533" s="284" t="str">
        <f>IF(Tool!$H$7="Français",G533,IF(Tool!$H$7="Italiano",I533,E533))</f>
        <v>Überschreitet der geschätzte Gesamtwert (Hoch- und Tiefbau exkl. Land, Honorare und MwSt.) eines Bauwerks 8.7 Mio. CHF, müssen die Aufträge im Staatsvertragsbereich öffentlich ausgeschrieben werden. Dann kann die lokale Beschaffung aus Gleichbehandlungsgründen nur bedingt gesteuert werden: Sofern eine Bauleistung, die unter die sogenannte «Bagatellklausel» fällt (Art. 16 Abs. 4 BöB/IVöB 2019), beschafft werden soll, so kann diese je nach Auftragswert (&lt; 2 Mio. CHF) im Nicht- Staatsvertragsbereich im offenen/selektiven oder im Einladungs- beziehungsweise dem freihändigen Verfahren vergeben werden.</v>
      </c>
      <c r="D533" s="300"/>
      <c r="E533" s="296" t="s">
        <v>1669</v>
      </c>
      <c r="F533" s="300"/>
      <c r="G533" s="296" t="s">
        <v>1280</v>
      </c>
      <c r="H533" s="300"/>
      <c r="I533" s="296" t="s">
        <v>1278</v>
      </c>
      <c r="J533" s="316"/>
      <c r="K533" s="138"/>
      <c r="L533" s="138"/>
      <c r="M533" s="138"/>
      <c r="N533" s="138"/>
      <c r="O533" s="138"/>
      <c r="P533" s="138"/>
      <c r="Q533" s="138"/>
      <c r="R533" s="138"/>
      <c r="S533" s="138"/>
      <c r="T533" s="138"/>
      <c r="U533" s="138"/>
      <c r="V533" s="138"/>
      <c r="W533" s="138"/>
      <c r="X533" s="138"/>
      <c r="Y533" s="138"/>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BB533" s="138"/>
      <c r="BC533" s="138"/>
      <c r="BD533" s="138"/>
      <c r="BE533" s="138"/>
      <c r="BF533" s="138"/>
      <c r="BG533" s="138"/>
      <c r="BH533" s="138"/>
      <c r="BI533" s="138"/>
    </row>
    <row r="534" spans="1:61" ht="15" customHeight="1">
      <c r="A534" s="138"/>
      <c r="B534" s="300"/>
      <c r="C534" s="284" t="str">
        <f>IF(Tool!$H$7="Français",G534,IF(Tool!$H$7="Italiano",I534,E534))</f>
        <v>Anwendungsbeispiel: Gesamtwert einer Schulanlage ist 40 Mio. CHF. Hiervon dürfen maximal 20 %, also 8 Mio. CHF, im Nicht-Staatsvertragsbereich vergeben werden. Allerdings müssen die 8 Mio. CHF so aufgeteilt werden, dass kein Einzelauftrag 2.0 Mio. CHF überschreitet. Weitere Anwendungshilfen finden sich im Faktenblatt «Bagatellklausel» der KBOB.</v>
      </c>
      <c r="D534" s="300"/>
      <c r="E534" s="298" t="s">
        <v>1670</v>
      </c>
      <c r="F534" s="300"/>
      <c r="G534" s="298" t="s">
        <v>1281</v>
      </c>
      <c r="H534" s="300"/>
      <c r="I534" s="298" t="s">
        <v>1279</v>
      </c>
      <c r="J534" s="316"/>
      <c r="K534" s="138"/>
      <c r="L534" s="138"/>
      <c r="M534" s="138"/>
      <c r="N534" s="138"/>
      <c r="O534" s="138"/>
      <c r="P534" s="138"/>
      <c r="Q534" s="138"/>
      <c r="R534" s="138"/>
      <c r="S534" s="138"/>
      <c r="T534" s="138"/>
      <c r="U534" s="138"/>
      <c r="V534" s="138"/>
      <c r="W534" s="138"/>
      <c r="X534" s="138"/>
      <c r="Y534" s="138"/>
      <c r="Z534" s="138"/>
      <c r="AA534" s="138"/>
      <c r="AB534" s="138"/>
      <c r="AC534" s="138"/>
      <c r="AD534" s="138"/>
      <c r="AE534" s="138" t="s">
        <v>28</v>
      </c>
      <c r="AF534" s="138"/>
      <c r="AG534" s="138"/>
      <c r="AH534" s="138"/>
      <c r="AI534" s="138"/>
      <c r="AJ534" s="138"/>
      <c r="AK534" s="138"/>
      <c r="AL534" s="138"/>
      <c r="AM534" s="138"/>
      <c r="AN534" s="138"/>
      <c r="AO534" s="138"/>
      <c r="AP534" s="138"/>
      <c r="AQ534" s="138"/>
      <c r="AR534" s="138"/>
      <c r="AS534" s="138"/>
      <c r="AT534" s="138"/>
      <c r="AU534" s="138"/>
      <c r="AV534" s="138"/>
      <c r="AW534" s="138"/>
      <c r="AX534" s="138"/>
      <c r="AY534" s="138"/>
      <c r="BB534" s="138"/>
      <c r="BC534" s="138"/>
      <c r="BD534" s="138"/>
      <c r="BE534" s="138"/>
      <c r="BF534" s="138"/>
      <c r="BG534" s="138"/>
      <c r="BH534" s="138"/>
      <c r="BI534" s="138"/>
    </row>
    <row r="535" spans="1:61" ht="15" customHeight="1">
      <c r="A535" s="138"/>
      <c r="B535" s="300"/>
      <c r="C535" s="284" t="str">
        <f>IF(Tool!$H$7="Français",G535,IF(Tool!$H$7="Italiano",I535,E535))</f>
        <v>SNBS 2023.1 Hochbau Kriterienbeschrieb, Ausgabe vom 13. September 2023, Update vom 9. Februar 2024, S. 186</v>
      </c>
      <c r="D535" s="300"/>
      <c r="E535" s="346" t="s">
        <v>1275</v>
      </c>
      <c r="F535" s="300"/>
      <c r="G535" s="346" t="s">
        <v>1274</v>
      </c>
      <c r="H535" s="300"/>
      <c r="I535" s="346" t="s">
        <v>1276</v>
      </c>
      <c r="J535" s="316"/>
      <c r="K535" s="138"/>
      <c r="L535" s="138"/>
      <c r="M535" s="138"/>
      <c r="N535" s="138"/>
      <c r="O535" s="138"/>
      <c r="P535" s="138"/>
      <c r="Q535" s="138"/>
      <c r="R535" s="138"/>
      <c r="S535" s="138"/>
      <c r="T535" s="138"/>
      <c r="U535" s="138"/>
      <c r="V535" s="138"/>
      <c r="W535" s="138"/>
      <c r="X535" s="138"/>
      <c r="Y535" s="138"/>
      <c r="Z535" s="138"/>
      <c r="AA535" s="138"/>
      <c r="AB535" s="138"/>
      <c r="AC535" s="138"/>
      <c r="AD535" s="138"/>
      <c r="AE535" s="138"/>
      <c r="AF535" s="138"/>
      <c r="AG535" s="138"/>
      <c r="AH535" s="138"/>
      <c r="AI535" s="138"/>
      <c r="AJ535" s="138"/>
      <c r="AK535" s="138"/>
      <c r="AL535" s="138"/>
      <c r="AM535" s="138"/>
      <c r="AN535" s="138"/>
      <c r="AO535" s="138"/>
      <c r="AP535" s="138"/>
      <c r="AQ535" s="138"/>
      <c r="AR535" s="138"/>
      <c r="AS535" s="138"/>
      <c r="AT535" s="138"/>
      <c r="AU535" s="138"/>
      <c r="AV535" s="138"/>
      <c r="AW535" s="138"/>
      <c r="AX535" s="138"/>
      <c r="AY535" s="138"/>
      <c r="BB535" s="138"/>
      <c r="BC535" s="138"/>
      <c r="BD535" s="138"/>
      <c r="BE535" s="138"/>
      <c r="BF535" s="138"/>
      <c r="BG535" s="138"/>
      <c r="BH535" s="138"/>
      <c r="BI535" s="138"/>
    </row>
    <row r="536" spans="1:61" ht="15" customHeight="1">
      <c r="A536" s="138"/>
      <c r="B536" s="299">
        <v>8</v>
      </c>
      <c r="C536" s="869" t="str">
        <f>IF(Tool!$H$7="Français",G536,IF(Tool!$H$7="Italiano",I536,E536))</f>
        <v>Nützliche Karte</v>
      </c>
      <c r="D536" s="299">
        <v>8</v>
      </c>
      <c r="E536" s="451" t="s">
        <v>149</v>
      </c>
      <c r="F536" s="299">
        <v>8</v>
      </c>
      <c r="G536" s="451" t="s">
        <v>150</v>
      </c>
      <c r="H536" s="299"/>
      <c r="I536" s="451" t="s">
        <v>1283</v>
      </c>
      <c r="J536" s="316"/>
      <c r="K536" s="138"/>
      <c r="L536" s="138"/>
      <c r="M536" s="138"/>
      <c r="N536" s="138"/>
      <c r="O536" s="138"/>
      <c r="P536" s="138"/>
      <c r="Q536" s="138"/>
      <c r="R536" s="138"/>
      <c r="S536" s="138"/>
      <c r="T536" s="138"/>
      <c r="U536" s="138"/>
      <c r="V536" s="138"/>
      <c r="W536" s="138"/>
      <c r="X536" s="138"/>
      <c r="Y536" s="138"/>
      <c r="Z536" s="138"/>
      <c r="AA536" s="138"/>
      <c r="AB536" s="138"/>
      <c r="AC536" s="138"/>
      <c r="AD536" s="138"/>
      <c r="AE536" s="138"/>
      <c r="AF536" s="138"/>
      <c r="AG536" s="138"/>
      <c r="AH536" s="138"/>
      <c r="AI536" s="138"/>
      <c r="AJ536" s="138"/>
      <c r="AK536" s="138"/>
      <c r="AL536" s="138"/>
      <c r="AM536" s="138"/>
      <c r="AN536" s="138"/>
      <c r="AO536" s="138"/>
      <c r="AP536" s="138"/>
      <c r="AQ536" s="138"/>
      <c r="AR536" s="138"/>
      <c r="AS536" s="138"/>
      <c r="AT536" s="138"/>
      <c r="AU536" s="138"/>
      <c r="AV536" s="138"/>
      <c r="AW536" s="138"/>
      <c r="AX536" s="138"/>
      <c r="AY536" s="138"/>
      <c r="BB536" s="138"/>
      <c r="BC536" s="138"/>
      <c r="BD536" s="138"/>
      <c r="BE536" s="138"/>
      <c r="BF536" s="138"/>
      <c r="BG536" s="138"/>
      <c r="BH536" s="138"/>
      <c r="BI536" s="138"/>
    </row>
    <row r="537" spans="1:61" ht="15" customHeight="1">
      <c r="A537" s="138"/>
      <c r="B537" s="300"/>
      <c r="C537" s="284" t="str">
        <f>IF(Tool!$H$7="Français",G537,IF(Tool!$H$7="Italiano",I537,E537))</f>
        <v>Link zur Karte mit Raumtypen</v>
      </c>
      <c r="D537" s="300"/>
      <c r="E537" s="345" t="s">
        <v>541</v>
      </c>
      <c r="F537" s="300"/>
      <c r="G537" s="345" t="s">
        <v>1282</v>
      </c>
      <c r="H537" s="300"/>
      <c r="I537" s="345" t="s">
        <v>1902</v>
      </c>
      <c r="J537" s="316"/>
      <c r="K537" s="138"/>
      <c r="L537" s="138"/>
      <c r="M537" s="138"/>
      <c r="N537" s="138"/>
      <c r="O537" s="138"/>
      <c r="P537" s="138"/>
      <c r="Q537" s="138"/>
      <c r="R537" s="138"/>
      <c r="S537" s="138"/>
      <c r="T537" s="138"/>
      <c r="U537" s="138"/>
      <c r="V537" s="138"/>
      <c r="W537" s="138"/>
      <c r="X537" s="138"/>
      <c r="Y537" s="138"/>
      <c r="Z537" s="138"/>
      <c r="AA537" s="138"/>
      <c r="AB537" s="138"/>
      <c r="AC537" s="138"/>
      <c r="AD537" s="138"/>
      <c r="AE537" s="138"/>
      <c r="AF537" s="138"/>
      <c r="AG537" s="138"/>
      <c r="AH537" s="138"/>
      <c r="AI537" s="138"/>
      <c r="AJ537" s="138"/>
      <c r="AK537" s="138"/>
      <c r="AL537" s="138"/>
      <c r="AM537" s="138"/>
      <c r="AN537" s="138"/>
      <c r="AO537" s="138"/>
      <c r="AP537" s="138"/>
      <c r="AQ537" s="138"/>
      <c r="AR537" s="138"/>
      <c r="AS537" s="138"/>
      <c r="AT537" s="138"/>
      <c r="AU537" s="138"/>
      <c r="AV537" s="138"/>
      <c r="AW537" s="138"/>
      <c r="AX537" s="138"/>
      <c r="AY537" s="138"/>
      <c r="BB537" s="138"/>
      <c r="BC537" s="138"/>
      <c r="BD537" s="138"/>
      <c r="BE537" s="138"/>
      <c r="BF537" s="138"/>
      <c r="BG537" s="138"/>
      <c r="BH537" s="138"/>
      <c r="BI537" s="138"/>
    </row>
    <row r="538" spans="1:61" ht="15" customHeight="1">
      <c r="A538" s="138"/>
      <c r="B538" s="300"/>
      <c r="C538" s="284" t="str">
        <f>IF(Tool!$H$7="Français",G538,IF(Tool!$H$7="Italiano",I538,E538))</f>
        <v>Link zur Karte mit ÖV-Güteklassen</v>
      </c>
      <c r="D538" s="300"/>
      <c r="E538" s="345" t="s">
        <v>101</v>
      </c>
      <c r="F538" s="300"/>
      <c r="G538" s="345" t="s">
        <v>105</v>
      </c>
      <c r="H538" s="300"/>
      <c r="I538" s="345" t="s">
        <v>1903</v>
      </c>
      <c r="J538" s="316"/>
      <c r="K538" s="138"/>
      <c r="L538" s="138"/>
      <c r="M538" s="138"/>
      <c r="N538" s="138"/>
      <c r="O538" s="138"/>
      <c r="P538" s="138"/>
      <c r="Q538" s="138"/>
      <c r="R538" s="138"/>
      <c r="S538" s="138"/>
      <c r="T538" s="138"/>
      <c r="U538" s="138"/>
      <c r="V538" s="138"/>
      <c r="W538" s="138"/>
      <c r="X538" s="138"/>
      <c r="Y538" s="138"/>
      <c r="Z538" s="138"/>
      <c r="AA538" s="138"/>
      <c r="AB538" s="138"/>
      <c r="AC538" s="138"/>
      <c r="AD538" s="138"/>
      <c r="AE538" s="138"/>
      <c r="AF538" s="138"/>
      <c r="AG538" s="138"/>
      <c r="AH538" s="138"/>
      <c r="AI538" s="138"/>
      <c r="AJ538" s="138"/>
      <c r="AK538" s="138"/>
      <c r="AL538" s="138"/>
      <c r="AM538" s="138"/>
      <c r="AN538" s="138"/>
      <c r="AO538" s="138"/>
      <c r="AP538" s="138"/>
      <c r="AQ538" s="138"/>
      <c r="AR538" s="138"/>
      <c r="AS538" s="138"/>
      <c r="AT538" s="138"/>
      <c r="AU538" s="138"/>
      <c r="AV538" s="138"/>
      <c r="AW538" s="138"/>
      <c r="AX538" s="138"/>
      <c r="AY538" s="138"/>
      <c r="BB538" s="138"/>
      <c r="BC538" s="138"/>
      <c r="BD538" s="138"/>
      <c r="BE538" s="138"/>
      <c r="BF538" s="138"/>
      <c r="BG538" s="138"/>
      <c r="BH538" s="138"/>
      <c r="BI538" s="138"/>
    </row>
    <row r="539" spans="1:61" ht="15" customHeight="1">
      <c r="A539" s="138"/>
      <c r="B539" s="300"/>
      <c r="C539" s="284" t="str">
        <f>IF(Tool!$H$7="Français",G539,IF(Tool!$H$7="Italiano",I539,E539))</f>
        <v>Link zur Karte der belastenden Standorte</v>
      </c>
      <c r="D539" s="300"/>
      <c r="E539" s="345" t="s">
        <v>102</v>
      </c>
      <c r="F539" s="300"/>
      <c r="G539" s="345" t="s">
        <v>106</v>
      </c>
      <c r="H539" s="300"/>
      <c r="I539" s="345" t="s">
        <v>1284</v>
      </c>
      <c r="J539" s="316"/>
      <c r="K539" s="138"/>
      <c r="L539" s="138"/>
      <c r="M539" s="138"/>
      <c r="N539" s="138"/>
      <c r="O539" s="138"/>
      <c r="P539" s="138"/>
      <c r="Q539" s="138"/>
      <c r="R539" s="138"/>
      <c r="S539" s="138"/>
      <c r="T539" s="138"/>
      <c r="U539" s="138"/>
      <c r="V539" s="138"/>
      <c r="W539" s="138"/>
      <c r="X539" s="138"/>
      <c r="Y539" s="138"/>
      <c r="Z539" s="138"/>
      <c r="AA539" s="138"/>
      <c r="AB539" s="138"/>
      <c r="AC539" s="138"/>
      <c r="AD539" s="138"/>
      <c r="AE539" s="138"/>
      <c r="AF539" s="138"/>
      <c r="AG539" s="138"/>
      <c r="AH539" s="138"/>
      <c r="AI539" s="138"/>
      <c r="AJ539" s="138"/>
      <c r="AK539" s="138"/>
      <c r="AL539" s="138"/>
      <c r="AM539" s="138"/>
      <c r="AN539" s="138"/>
      <c r="AO539" s="138"/>
      <c r="AP539" s="138"/>
      <c r="AQ539" s="138"/>
      <c r="AR539" s="138"/>
      <c r="AS539" s="138"/>
      <c r="AT539" s="138"/>
      <c r="AU539" s="138"/>
      <c r="AV539" s="311"/>
      <c r="AW539" s="311"/>
      <c r="AX539" s="138"/>
      <c r="AY539" s="138"/>
      <c r="BB539" s="138"/>
      <c r="BC539" s="138"/>
      <c r="BD539" s="138"/>
      <c r="BE539" s="138"/>
      <c r="BF539" s="138"/>
      <c r="BG539" s="138"/>
      <c r="BH539" s="138"/>
      <c r="BI539" s="138"/>
    </row>
    <row r="540" spans="1:61" ht="15" customHeight="1">
      <c r="A540" s="138"/>
      <c r="B540" s="300"/>
      <c r="C540" s="284" t="str">
        <f>IF(Tool!$H$7="Français",G540,IF(Tool!$H$7="Italiano",I540,E540))</f>
        <v>Link zur Karte der Naturgefahren</v>
      </c>
      <c r="D540" s="300"/>
      <c r="E540" s="345" t="s">
        <v>103</v>
      </c>
      <c r="F540" s="300"/>
      <c r="G540" s="345" t="s">
        <v>107</v>
      </c>
      <c r="H540" s="300"/>
      <c r="I540" s="345" t="s">
        <v>1285</v>
      </c>
      <c r="J540" s="316"/>
      <c r="K540" s="311"/>
      <c r="L540" s="311"/>
      <c r="M540" s="311"/>
      <c r="N540" s="311"/>
      <c r="O540" s="311"/>
      <c r="P540" s="311"/>
      <c r="Q540" s="138"/>
      <c r="R540" s="138"/>
      <c r="S540" s="138"/>
      <c r="T540" s="138"/>
      <c r="U540" s="138"/>
      <c r="V540" s="138"/>
      <c r="W540" s="138"/>
      <c r="X540" s="138"/>
      <c r="Y540" s="138"/>
      <c r="Z540" s="138"/>
      <c r="AA540" s="138"/>
      <c r="AB540" s="138"/>
      <c r="AC540" s="138"/>
      <c r="AD540" s="138"/>
      <c r="AE540" s="138"/>
      <c r="AF540" s="138"/>
      <c r="AG540" s="138"/>
      <c r="AH540" s="138"/>
      <c r="AI540" s="138"/>
      <c r="AJ540" s="138"/>
      <c r="AK540" s="138"/>
      <c r="AL540" s="138"/>
      <c r="AM540" s="138"/>
      <c r="AN540" s="138"/>
      <c r="AO540" s="138"/>
      <c r="AP540" s="138"/>
      <c r="AQ540" s="138"/>
      <c r="AR540" s="138"/>
      <c r="AS540" s="138"/>
      <c r="AT540" s="138"/>
      <c r="AU540" s="138"/>
      <c r="AV540" s="138"/>
      <c r="AW540" s="138"/>
      <c r="AX540" s="138"/>
      <c r="AY540" s="138"/>
      <c r="BB540" s="138"/>
      <c r="BC540" s="138"/>
      <c r="BD540" s="138"/>
      <c r="BE540" s="138"/>
      <c r="BF540" s="138"/>
      <c r="BG540" s="138"/>
      <c r="BH540" s="138"/>
      <c r="BI540" s="138"/>
    </row>
    <row r="541" spans="1:61" ht="15" customHeight="1">
      <c r="A541" s="138"/>
      <c r="B541" s="300"/>
      <c r="C541" s="284" t="str">
        <f>IF(Tool!$H$7="Français",G541,IF(Tool!$H$7="Italiano",I541,E541))</f>
        <v>Link zur Karte der Grundwasserschutzzonen</v>
      </c>
      <c r="D541" s="300"/>
      <c r="E541" s="345" t="s">
        <v>104</v>
      </c>
      <c r="F541" s="300"/>
      <c r="G541" s="345" t="s">
        <v>108</v>
      </c>
      <c r="H541" s="300"/>
      <c r="I541" s="345" t="s">
        <v>1286</v>
      </c>
      <c r="J541" s="316"/>
      <c r="K541" s="138"/>
      <c r="L541" s="138"/>
      <c r="M541" s="138"/>
      <c r="N541" s="138"/>
      <c r="O541" s="138"/>
      <c r="P541" s="138"/>
      <c r="Q541" s="138"/>
      <c r="R541" s="138"/>
      <c r="S541" s="138"/>
      <c r="T541" s="138"/>
      <c r="U541" s="138"/>
      <c r="V541" s="138"/>
      <c r="W541" s="138"/>
      <c r="X541" s="138"/>
      <c r="Y541" s="138"/>
      <c r="Z541" s="138"/>
      <c r="AA541" s="138"/>
      <c r="AB541" s="138"/>
      <c r="AC541" s="138"/>
      <c r="AD541" s="138"/>
      <c r="AE541" s="138"/>
      <c r="AF541" s="138"/>
      <c r="AG541" s="138"/>
      <c r="AH541" s="138"/>
      <c r="AI541" s="138"/>
      <c r="AJ541" s="138"/>
      <c r="AK541" s="138"/>
      <c r="AL541" s="138"/>
      <c r="AM541" s="138"/>
      <c r="AN541" s="138"/>
      <c r="AO541" s="138"/>
      <c r="AP541" s="138"/>
      <c r="AQ541" s="138"/>
      <c r="AR541" s="138"/>
      <c r="AS541" s="138"/>
      <c r="AT541" s="138"/>
      <c r="AU541" s="138"/>
      <c r="AV541" s="138"/>
      <c r="AW541" s="138"/>
      <c r="AX541" s="138"/>
      <c r="AY541" s="138"/>
      <c r="BB541" s="138"/>
      <c r="BC541" s="138"/>
      <c r="BD541" s="138"/>
      <c r="BE541" s="138"/>
      <c r="BF541" s="138"/>
      <c r="BG541" s="138"/>
      <c r="BH541" s="138"/>
      <c r="BI541" s="138"/>
    </row>
    <row r="542" spans="1:61" ht="15" customHeight="1">
      <c r="A542" s="138"/>
      <c r="B542" s="301"/>
      <c r="C542" s="284" t="str">
        <f>IF(Tool!$H$7="Français",G542,IF(Tool!$H$7="Italiano",I542,E542))</f>
        <v>Link zur Karte der Ortsbildschutzzone</v>
      </c>
      <c r="D542" s="301"/>
      <c r="E542" s="346" t="s">
        <v>404</v>
      </c>
      <c r="F542" s="301"/>
      <c r="G542" s="346" t="s">
        <v>405</v>
      </c>
      <c r="H542" s="301"/>
      <c r="I542" s="346" t="s">
        <v>1287</v>
      </c>
      <c r="J542" s="316"/>
      <c r="K542" s="138"/>
      <c r="L542" s="138"/>
      <c r="M542" s="138"/>
      <c r="N542" s="138"/>
      <c r="O542" s="138"/>
      <c r="P542" s="138"/>
      <c r="Q542" s="138"/>
      <c r="R542" s="138"/>
      <c r="S542" s="138"/>
      <c r="T542" s="138"/>
      <c r="U542" s="138"/>
      <c r="V542" s="138"/>
      <c r="W542" s="138"/>
      <c r="X542" s="138"/>
      <c r="Y542" s="138"/>
      <c r="Z542" s="138"/>
      <c r="AA542" s="138"/>
      <c r="AB542" s="138"/>
      <c r="AC542" s="138"/>
      <c r="AD542" s="138"/>
      <c r="AE542" s="138"/>
      <c r="AF542" s="138"/>
      <c r="AG542" s="138"/>
      <c r="AH542" s="138"/>
      <c r="AI542" s="138"/>
      <c r="AJ542" s="138"/>
      <c r="AK542" s="138"/>
      <c r="AL542" s="138"/>
      <c r="AM542" s="138"/>
      <c r="AN542" s="138"/>
      <c r="AO542" s="138"/>
      <c r="AP542" s="138"/>
      <c r="AQ542" s="138"/>
      <c r="AR542" s="138"/>
      <c r="AS542" s="138"/>
      <c r="AT542" s="138"/>
      <c r="AU542" s="138"/>
      <c r="AV542" s="138"/>
      <c r="AW542" s="138"/>
      <c r="AX542" s="138"/>
      <c r="AY542" s="138"/>
      <c r="BB542" s="138"/>
      <c r="BC542" s="138"/>
      <c r="BD542" s="138"/>
      <c r="BE542" s="138"/>
      <c r="BF542" s="138"/>
      <c r="BG542" s="138"/>
      <c r="BH542" s="138"/>
      <c r="BI542" s="138"/>
    </row>
    <row r="543" spans="1:61" ht="15" customHeight="1">
      <c r="A543" s="138"/>
      <c r="B543" s="300">
        <v>9</v>
      </c>
      <c r="C543" s="869" t="str">
        <f>IF(Tool!$H$7="Français",G543,IF(Tool!$H$7="Italiano",I543,E543))</f>
        <v>Klimadaten</v>
      </c>
      <c r="D543" s="300">
        <v>9</v>
      </c>
      <c r="E543" s="640" t="s">
        <v>431</v>
      </c>
      <c r="F543" s="300">
        <v>9</v>
      </c>
      <c r="G543" s="640" t="s">
        <v>432</v>
      </c>
      <c r="H543" s="300"/>
      <c r="I543" s="640" t="s">
        <v>1288</v>
      </c>
      <c r="J543" s="315"/>
      <c r="K543" s="138"/>
      <c r="L543" s="138"/>
      <c r="M543" s="138"/>
      <c r="N543" s="138"/>
      <c r="O543" s="138"/>
      <c r="P543" s="138"/>
      <c r="Q543" s="138"/>
      <c r="R543" s="138"/>
      <c r="S543" s="138"/>
      <c r="T543" s="138"/>
      <c r="U543" s="138"/>
      <c r="V543" s="138"/>
      <c r="W543" s="138"/>
      <c r="X543" s="138"/>
      <c r="Y543" s="138"/>
      <c r="Z543" s="138"/>
      <c r="AA543" s="138"/>
      <c r="AB543" s="138"/>
      <c r="AC543" s="138"/>
      <c r="AD543" s="138"/>
      <c r="AE543" s="138"/>
      <c r="AF543" s="311"/>
      <c r="AG543" s="311"/>
      <c r="AH543" s="311"/>
      <c r="AI543" s="311"/>
      <c r="AJ543" s="311"/>
      <c r="AK543" s="311"/>
      <c r="AL543" s="311"/>
      <c r="AM543" s="311"/>
      <c r="AN543" s="311"/>
      <c r="AO543" s="311"/>
      <c r="AP543" s="311"/>
      <c r="AQ543" s="311"/>
      <c r="AR543" s="311"/>
      <c r="AS543" s="311"/>
      <c r="AT543" s="311"/>
      <c r="AU543" s="311"/>
      <c r="AV543" s="138"/>
      <c r="AW543" s="138"/>
      <c r="AX543" s="138"/>
      <c r="AY543" s="138"/>
      <c r="BB543" s="138"/>
      <c r="BC543" s="138"/>
      <c r="BD543" s="138"/>
      <c r="BE543" s="138"/>
      <c r="BF543" s="138"/>
      <c r="BG543" s="138"/>
      <c r="BH543" s="138"/>
      <c r="BI543" s="138"/>
    </row>
    <row r="544" spans="1:61" ht="15" customHeight="1">
      <c r="A544" s="138"/>
      <c r="B544" s="300"/>
      <c r="C544" s="284">
        <f>IF(Tool!$H$7="Français",G544,IF(Tool!$H$7="Italiano",I544,E544))</f>
        <v>0</v>
      </c>
      <c r="D544" s="300"/>
      <c r="E544" s="345"/>
      <c r="F544" s="300"/>
      <c r="G544" s="345"/>
      <c r="H544" s="300"/>
      <c r="I544" s="345"/>
      <c r="J544" s="316"/>
      <c r="K544" s="138"/>
      <c r="L544" s="138"/>
      <c r="M544" s="138"/>
      <c r="N544" s="138"/>
      <c r="O544" s="138"/>
      <c r="P544" s="138"/>
      <c r="Q544" s="138"/>
      <c r="R544" s="311"/>
      <c r="S544" s="311"/>
      <c r="T544" s="311"/>
      <c r="U544" s="311"/>
      <c r="V544" s="311"/>
      <c r="W544" s="311"/>
      <c r="X544" s="138"/>
      <c r="Y544" s="311"/>
      <c r="Z544" s="311"/>
      <c r="AA544" s="311"/>
      <c r="AB544" s="311"/>
      <c r="AC544" s="311"/>
      <c r="AD544" s="311"/>
      <c r="AE544" s="311"/>
      <c r="AF544" s="138"/>
      <c r="AG544" s="138"/>
      <c r="AH544" s="138"/>
      <c r="AI544" s="138"/>
      <c r="AJ544" s="138"/>
      <c r="AK544" s="138"/>
      <c r="AL544" s="138"/>
      <c r="AM544" s="138"/>
      <c r="AN544" s="138"/>
      <c r="AO544" s="138"/>
      <c r="AP544" s="138"/>
      <c r="AQ544" s="138"/>
      <c r="AR544" s="138"/>
      <c r="AS544" s="138"/>
      <c r="AT544" s="138"/>
      <c r="AU544" s="138"/>
      <c r="AV544" s="138"/>
      <c r="AW544" s="138"/>
      <c r="AX544" s="138"/>
      <c r="AY544" s="138"/>
      <c r="BB544" s="138"/>
      <c r="BC544" s="138"/>
      <c r="BD544" s="138"/>
      <c r="BE544" s="138"/>
      <c r="BF544" s="138"/>
      <c r="BG544" s="138"/>
      <c r="BH544" s="138"/>
      <c r="BI544" s="138"/>
    </row>
    <row r="545" spans="1:61" ht="15" customHeight="1">
      <c r="A545" s="138"/>
      <c r="B545" s="300"/>
      <c r="C545" s="284" t="str">
        <f>IF(Tool!$H$7="Français",G545,IF(Tool!$H$7="Italiano",I545,E545))</f>
        <v>Die Daten sind auf dem Geoportal des Bundes verfügbar:</v>
      </c>
      <c r="D545" s="300"/>
      <c r="E545" s="345" t="s">
        <v>1590</v>
      </c>
      <c r="F545" s="300"/>
      <c r="G545" s="345" t="s">
        <v>1592</v>
      </c>
      <c r="H545" s="300"/>
      <c r="I545" s="345" t="s">
        <v>1591</v>
      </c>
      <c r="J545" s="316"/>
      <c r="K545" s="138"/>
      <c r="L545" s="138"/>
      <c r="M545" s="138"/>
      <c r="N545" s="138"/>
      <c r="O545" s="138"/>
      <c r="P545" s="138"/>
      <c r="Q545" s="138"/>
      <c r="R545" s="138"/>
      <c r="S545" s="138"/>
      <c r="T545" s="138"/>
      <c r="U545" s="138"/>
      <c r="V545" s="138"/>
      <c r="W545" s="138"/>
      <c r="X545" s="138"/>
      <c r="Y545" s="138"/>
      <c r="Z545" s="138"/>
      <c r="AA545" s="138"/>
      <c r="AB545" s="138"/>
      <c r="AC545" s="138"/>
      <c r="AD545" s="138"/>
      <c r="AE545" s="311"/>
      <c r="AF545" s="138"/>
      <c r="AG545" s="138"/>
      <c r="AH545" s="138"/>
      <c r="AI545" s="138"/>
      <c r="AJ545" s="138"/>
      <c r="AK545" s="138"/>
      <c r="AL545" s="138"/>
      <c r="AM545" s="138"/>
      <c r="AN545" s="138"/>
      <c r="AO545" s="138"/>
      <c r="AP545" s="138"/>
      <c r="AQ545" s="138"/>
      <c r="AR545" s="138"/>
      <c r="AS545" s="138"/>
      <c r="AT545" s="138"/>
      <c r="AU545" s="138"/>
      <c r="AV545" s="138"/>
      <c r="AW545" s="138"/>
      <c r="AX545" s="138"/>
      <c r="AY545" s="138"/>
      <c r="BB545" s="138"/>
      <c r="BC545" s="138"/>
      <c r="BD545" s="138"/>
      <c r="BE545" s="138"/>
      <c r="BF545" s="138"/>
      <c r="BG545" s="138"/>
      <c r="BH545" s="138"/>
      <c r="BI545" s="138"/>
    </row>
    <row r="546" spans="1:61" ht="15" customHeight="1">
      <c r="A546" s="138"/>
      <c r="B546" s="300"/>
      <c r="C546" s="284" t="str">
        <f>IF(Tool!$H$7="Français",G546,IF(Tool!$H$7="Italiano",I546,E546))</f>
        <v>Meteoschweiz</v>
      </c>
      <c r="D546" s="300"/>
      <c r="E546" s="345" t="s">
        <v>485</v>
      </c>
      <c r="F546" s="300"/>
      <c r="G546" s="345" t="s">
        <v>480</v>
      </c>
      <c r="H546" s="300"/>
      <c r="I546" s="345" t="s">
        <v>1289</v>
      </c>
      <c r="J546" s="316"/>
      <c r="K546" s="138"/>
      <c r="L546" s="138"/>
      <c r="M546" s="138"/>
      <c r="N546" s="138"/>
      <c r="O546" s="138"/>
      <c r="P546" s="138"/>
      <c r="Q546" s="138"/>
      <c r="R546" s="138"/>
      <c r="S546" s="138"/>
      <c r="T546" s="138"/>
      <c r="U546" s="138"/>
      <c r="V546" s="138"/>
      <c r="W546" s="138"/>
      <c r="X546" s="138"/>
      <c r="Y546" s="138"/>
      <c r="Z546" s="138"/>
      <c r="AA546" s="138"/>
      <c r="AB546" s="138"/>
      <c r="AC546" s="138"/>
      <c r="AD546" s="138"/>
      <c r="AE546" s="311"/>
      <c r="AF546" s="138"/>
      <c r="AG546" s="138"/>
      <c r="AH546" s="138"/>
      <c r="AI546" s="138"/>
      <c r="AJ546" s="138"/>
      <c r="AK546" s="138"/>
      <c r="AL546" s="138"/>
      <c r="AM546" s="138"/>
      <c r="AN546" s="138"/>
      <c r="AO546" s="138"/>
      <c r="AP546" s="138"/>
      <c r="AQ546" s="138"/>
      <c r="AR546" s="138"/>
      <c r="AS546" s="138"/>
      <c r="AT546" s="138"/>
      <c r="AU546" s="138"/>
      <c r="AV546" s="138"/>
      <c r="AW546" s="138"/>
      <c r="AX546" s="138"/>
      <c r="AY546" s="138"/>
      <c r="BB546" s="138"/>
      <c r="BC546" s="138"/>
      <c r="BD546" s="138"/>
      <c r="BE546" s="138"/>
      <c r="BF546" s="138"/>
      <c r="BG546" s="138"/>
      <c r="BH546" s="138"/>
      <c r="BI546" s="138"/>
    </row>
    <row r="547" spans="1:61" ht="15" customHeight="1">
      <c r="A547" s="138"/>
      <c r="B547" s="300"/>
      <c r="C547" s="284" t="str">
        <f>IF(Tool!$H$7="Français",G547,IF(Tool!$H$7="Italiano",I547,E547))</f>
        <v>Weitere Informationen zu NCCS:</v>
      </c>
      <c r="D547" s="300"/>
      <c r="E547" s="345" t="s">
        <v>484</v>
      </c>
      <c r="F547" s="300"/>
      <c r="G547" s="345" t="s">
        <v>481</v>
      </c>
      <c r="H547" s="300"/>
      <c r="I547" s="345" t="s">
        <v>1290</v>
      </c>
      <c r="J547" s="316"/>
      <c r="K547" s="138"/>
      <c r="L547" s="138"/>
      <c r="M547" s="138"/>
      <c r="N547" s="138"/>
      <c r="O547" s="138"/>
      <c r="P547" s="138"/>
      <c r="Q547" s="138"/>
      <c r="R547" s="138"/>
      <c r="S547" s="138"/>
      <c r="T547" s="138"/>
      <c r="U547" s="138"/>
      <c r="V547" s="138"/>
      <c r="W547" s="138"/>
      <c r="X547" s="138"/>
      <c r="Y547" s="138"/>
      <c r="Z547" s="138"/>
      <c r="AA547" s="138"/>
      <c r="AB547" s="138"/>
      <c r="AC547" s="138"/>
      <c r="AD547" s="138"/>
      <c r="AE547" s="311"/>
      <c r="AF547" s="138"/>
      <c r="AG547" s="138"/>
      <c r="AH547" s="138"/>
      <c r="AI547" s="138"/>
      <c r="AJ547" s="138"/>
      <c r="AK547" s="138"/>
      <c r="AL547" s="138"/>
      <c r="AM547" s="138"/>
      <c r="AN547" s="138"/>
      <c r="AO547" s="138"/>
      <c r="AP547" s="138"/>
      <c r="AQ547" s="138"/>
      <c r="AR547" s="138"/>
      <c r="AS547" s="138"/>
      <c r="AT547" s="138"/>
      <c r="AU547" s="138"/>
      <c r="AV547" s="138"/>
      <c r="AW547" s="138"/>
      <c r="AX547" s="138"/>
      <c r="AY547" s="138"/>
      <c r="BB547" s="138"/>
      <c r="BC547" s="138"/>
      <c r="BD547" s="138"/>
      <c r="BE547" s="138"/>
      <c r="BF547" s="138"/>
      <c r="BG547" s="138"/>
      <c r="BH547" s="138"/>
      <c r="BI547" s="138"/>
    </row>
    <row r="548" spans="1:61" ht="15" customHeight="1">
      <c r="A548" s="138"/>
      <c r="B548" s="300"/>
      <c r="C548" s="284" t="str">
        <f>IF(Tool!$H$7="Français",G548,IF(Tool!$H$7="Italiano",I548,E548))</f>
        <v>Zur Website des NCCS</v>
      </c>
      <c r="D548" s="300"/>
      <c r="E548" s="345" t="s">
        <v>483</v>
      </c>
      <c r="F548" s="300"/>
      <c r="G548" s="345" t="s">
        <v>482</v>
      </c>
      <c r="H548" s="300"/>
      <c r="I548" s="345" t="s">
        <v>1291</v>
      </c>
      <c r="J548" s="316"/>
      <c r="K548" s="138"/>
      <c r="L548" s="138"/>
      <c r="M548" s="138"/>
      <c r="N548" s="138"/>
      <c r="O548" s="138"/>
      <c r="P548" s="138"/>
      <c r="Q548" s="138"/>
      <c r="R548" s="138"/>
      <c r="S548" s="138"/>
      <c r="T548" s="138"/>
      <c r="U548" s="138"/>
      <c r="V548" s="138"/>
      <c r="W548" s="138"/>
      <c r="X548" s="138"/>
      <c r="Y548" s="138"/>
      <c r="Z548" s="138"/>
      <c r="AA548" s="138"/>
      <c r="AB548" s="138"/>
      <c r="AC548" s="138"/>
      <c r="AD548" s="138"/>
      <c r="AE548" s="311"/>
      <c r="AF548" s="138"/>
      <c r="AG548" s="138"/>
      <c r="AH548" s="138"/>
      <c r="AI548" s="138"/>
      <c r="AJ548" s="138"/>
      <c r="AK548" s="138"/>
      <c r="AL548" s="138"/>
      <c r="AM548" s="138"/>
      <c r="AN548" s="138"/>
      <c r="AO548" s="138"/>
      <c r="AP548" s="138"/>
      <c r="AQ548" s="138"/>
      <c r="AR548" s="138"/>
      <c r="AS548" s="138"/>
      <c r="AT548" s="138"/>
      <c r="AU548" s="138"/>
      <c r="AV548" s="138"/>
      <c r="AW548" s="138"/>
      <c r="AX548" s="138"/>
      <c r="AY548" s="138"/>
      <c r="BB548" s="138"/>
      <c r="BC548" s="138"/>
      <c r="BD548" s="138"/>
      <c r="BE548" s="138"/>
      <c r="BF548" s="138"/>
      <c r="BG548" s="138"/>
      <c r="BH548" s="138"/>
      <c r="BI548" s="138"/>
    </row>
    <row r="549" spans="1:61" ht="15" customHeight="1">
      <c r="A549" s="138"/>
      <c r="B549" s="300"/>
      <c r="C549" s="284" t="str">
        <f>IF(Tool!$H$7="Français",G549,IF(Tool!$H$7="Italiano",I549,E549))</f>
        <v>Anwendungsmpfehlung der SIA für die Nutzung der Klimadatensätzen für die Zukunft</v>
      </c>
      <c r="D549" s="300"/>
      <c r="E549" s="345" t="s">
        <v>1593</v>
      </c>
      <c r="F549" s="300"/>
      <c r="G549" s="345" t="s">
        <v>1596</v>
      </c>
      <c r="H549" s="300"/>
      <c r="I549" s="345" t="s">
        <v>1904</v>
      </c>
      <c r="J549" s="316"/>
      <c r="K549" s="138"/>
      <c r="L549" s="138"/>
      <c r="M549" s="138"/>
      <c r="N549" s="138"/>
      <c r="O549" s="138"/>
      <c r="P549" s="138"/>
      <c r="Q549" s="138"/>
      <c r="R549" s="138"/>
      <c r="S549" s="138"/>
      <c r="T549" s="138"/>
      <c r="U549" s="138"/>
      <c r="V549" s="138"/>
      <c r="W549" s="138"/>
      <c r="X549" s="138"/>
      <c r="Y549" s="138"/>
      <c r="Z549" s="138"/>
      <c r="AA549" s="138"/>
      <c r="AB549" s="138"/>
      <c r="AC549" s="138"/>
      <c r="AD549" s="138"/>
      <c r="AE549" s="311"/>
      <c r="AF549" s="138"/>
      <c r="AG549" s="138"/>
      <c r="AH549" s="138"/>
      <c r="AI549" s="138"/>
      <c r="AJ549" s="138"/>
      <c r="AK549" s="138"/>
      <c r="AL549" s="138"/>
      <c r="AM549" s="138"/>
      <c r="AN549" s="138"/>
      <c r="AO549" s="138"/>
      <c r="AP549" s="138"/>
      <c r="AQ549" s="138"/>
      <c r="AR549" s="138"/>
      <c r="AS549" s="138"/>
      <c r="AT549" s="138"/>
      <c r="AU549" s="138"/>
      <c r="AV549" s="138"/>
      <c r="AW549" s="138"/>
      <c r="AX549" s="138"/>
      <c r="AY549" s="138"/>
      <c r="BB549" s="138"/>
      <c r="BC549" s="138"/>
      <c r="BD549" s="138"/>
      <c r="BE549" s="138"/>
      <c r="BF549" s="138"/>
      <c r="BG549" s="138"/>
      <c r="BH549" s="138"/>
      <c r="BI549" s="138"/>
    </row>
    <row r="550" spans="1:61" ht="15" customHeight="1">
      <c r="A550" s="138"/>
      <c r="B550" s="301"/>
      <c r="C550" s="876" t="str">
        <f>IF(Tool!$H$7="Français",G550,IF(Tool!$H$7="Italiano",I550,E550))</f>
        <v>Zur Anwendungsempfehlung</v>
      </c>
      <c r="D550" s="301"/>
      <c r="E550" s="346" t="s">
        <v>1594</v>
      </c>
      <c r="F550" s="301"/>
      <c r="G550" s="346" t="s">
        <v>1595</v>
      </c>
      <c r="H550" s="301"/>
      <c r="I550" s="346" t="s">
        <v>1597</v>
      </c>
      <c r="J550" s="316"/>
      <c r="K550" s="138"/>
      <c r="L550" s="138"/>
      <c r="M550" s="138"/>
      <c r="N550" s="138"/>
      <c r="O550" s="138"/>
      <c r="P550" s="138"/>
      <c r="Q550" s="138"/>
      <c r="R550" s="138"/>
      <c r="S550" s="138"/>
      <c r="T550" s="138"/>
      <c r="U550" s="138"/>
      <c r="V550" s="138"/>
      <c r="W550" s="138"/>
      <c r="X550" s="138"/>
      <c r="Y550" s="138"/>
      <c r="Z550" s="138"/>
      <c r="AA550" s="138"/>
      <c r="AB550" s="138"/>
      <c r="AC550" s="138"/>
      <c r="AD550" s="138"/>
      <c r="AE550" s="138"/>
      <c r="AF550" s="138"/>
      <c r="AG550" s="138"/>
      <c r="AH550" s="138"/>
      <c r="AI550" s="138"/>
      <c r="AJ550" s="138"/>
      <c r="AK550" s="138"/>
      <c r="AL550" s="138"/>
      <c r="AM550" s="138"/>
      <c r="AN550" s="138"/>
      <c r="AO550" s="138"/>
      <c r="AP550" s="138"/>
      <c r="AQ550" s="138"/>
      <c r="AR550" s="138"/>
      <c r="AS550" s="138"/>
      <c r="AT550" s="138"/>
      <c r="AU550" s="138"/>
      <c r="AV550" s="138"/>
      <c r="AW550" s="138"/>
      <c r="AX550" s="138"/>
      <c r="AY550" s="138"/>
      <c r="BB550" s="138"/>
      <c r="BC550" s="138"/>
      <c r="BD550" s="138"/>
      <c r="BE550" s="138"/>
      <c r="BF550" s="138"/>
      <c r="BG550" s="138"/>
      <c r="BH550" s="138"/>
      <c r="BI550" s="138"/>
    </row>
    <row r="551" spans="1:61" ht="15.65" customHeight="1">
      <c r="A551" s="138"/>
      <c r="B551" s="1612"/>
      <c r="C551" s="290"/>
      <c r="D551" s="142"/>
      <c r="E551" s="290"/>
      <c r="F551" s="142"/>
      <c r="G551" s="290"/>
      <c r="H551" s="142"/>
      <c r="I551" s="1626"/>
      <c r="J551" s="316"/>
      <c r="K551" s="144"/>
      <c r="L551" s="144"/>
      <c r="M551" s="144"/>
      <c r="N551" s="144"/>
      <c r="O551" s="144"/>
      <c r="P551" s="144"/>
      <c r="Q551" s="138"/>
      <c r="R551" s="138"/>
      <c r="S551" s="138"/>
      <c r="T551" s="138"/>
      <c r="U551" s="138"/>
      <c r="V551" s="138"/>
      <c r="W551" s="138"/>
      <c r="X551" s="138"/>
      <c r="Y551" s="138"/>
      <c r="Z551" s="138"/>
      <c r="AA551" s="138"/>
      <c r="AB551" s="138"/>
      <c r="AC551" s="138"/>
      <c r="AD551" s="138"/>
      <c r="AE551" s="138"/>
      <c r="AF551" s="138"/>
      <c r="AG551" s="138"/>
      <c r="AH551" s="138"/>
      <c r="AI551" s="138"/>
      <c r="AJ551" s="138"/>
      <c r="AK551" s="138"/>
      <c r="AL551" s="138"/>
      <c r="AM551" s="138"/>
      <c r="AN551" s="138"/>
      <c r="AO551" s="138"/>
      <c r="AP551" s="138"/>
      <c r="AQ551" s="138"/>
      <c r="AR551" s="138"/>
      <c r="AS551" s="138"/>
      <c r="AT551" s="138"/>
      <c r="AU551" s="138"/>
      <c r="AV551" s="138"/>
      <c r="AW551" s="138"/>
      <c r="AX551" s="138"/>
      <c r="AY551" s="138"/>
      <c r="BB551" s="138"/>
      <c r="BC551" s="138"/>
      <c r="BD551" s="138"/>
      <c r="BE551" s="138"/>
      <c r="BF551" s="138"/>
      <c r="BG551" s="138"/>
      <c r="BH551" s="138"/>
      <c r="BI551" s="138"/>
    </row>
    <row r="552" spans="1:61" ht="15.65" customHeight="1">
      <c r="A552" s="138"/>
      <c r="B552" s="448"/>
      <c r="C552" s="869" t="str">
        <f>IF(Tool!$H$7="Français",G552,IF(Tool!$H$7="Italiano",I552,E552))</f>
        <v xml:space="preserve">   Ergebnis   </v>
      </c>
      <c r="D552" s="330"/>
      <c r="E552" s="329" t="s">
        <v>110</v>
      </c>
      <c r="F552" s="330"/>
      <c r="G552" s="329" t="s">
        <v>109</v>
      </c>
      <c r="H552" s="330"/>
      <c r="I552" s="329" t="s">
        <v>1297</v>
      </c>
      <c r="J552" s="316"/>
      <c r="K552" s="138"/>
      <c r="L552" s="138"/>
      <c r="M552" s="138"/>
      <c r="N552" s="138"/>
      <c r="O552" s="138"/>
      <c r="P552" s="138"/>
      <c r="Q552" s="138"/>
      <c r="R552" s="138"/>
      <c r="S552" s="138"/>
      <c r="T552" s="138"/>
      <c r="U552" s="138"/>
      <c r="V552" s="138"/>
      <c r="W552" s="138"/>
      <c r="X552" s="138"/>
      <c r="Y552" s="138"/>
      <c r="Z552" s="138"/>
      <c r="AA552" s="138"/>
      <c r="AB552" s="138"/>
      <c r="AC552" s="138"/>
      <c r="AD552" s="138"/>
      <c r="AE552" s="138"/>
      <c r="AF552" s="138"/>
      <c r="AG552" s="138"/>
      <c r="AH552" s="138"/>
      <c r="AI552" s="138"/>
      <c r="AJ552" s="138"/>
      <c r="AK552" s="138"/>
      <c r="AL552" s="138"/>
      <c r="AM552" s="138"/>
      <c r="AN552" s="138"/>
      <c r="AO552" s="138"/>
      <c r="AP552" s="138"/>
      <c r="AQ552" s="138"/>
      <c r="AR552" s="138"/>
      <c r="AS552" s="138"/>
      <c r="AT552" s="138"/>
      <c r="AU552" s="138"/>
      <c r="AV552" s="138"/>
      <c r="AW552" s="138"/>
      <c r="AX552" s="138"/>
      <c r="AY552" s="144"/>
      <c r="BB552" s="144"/>
      <c r="BC552" s="144"/>
      <c r="BD552" s="138"/>
      <c r="BE552" s="138"/>
      <c r="BF552" s="138"/>
      <c r="BG552" s="138"/>
      <c r="BH552" s="138"/>
      <c r="BI552" s="138"/>
    </row>
    <row r="553" spans="1:61" ht="15.65" customHeight="1">
      <c r="A553" s="138"/>
      <c r="B553" s="449"/>
      <c r="C553" s="284" t="str">
        <f>IF(Tool!$H$7="Français",G553,IF(Tool!$H$7="Italiano",I553,E553))</f>
        <v>Exportieren/Drucken</v>
      </c>
      <c r="D553" s="284"/>
      <c r="E553" s="284" t="s">
        <v>221</v>
      </c>
      <c r="F553" s="284"/>
      <c r="G553" s="325" t="s">
        <v>126</v>
      </c>
      <c r="H553" s="284"/>
      <c r="I553" s="284" t="s">
        <v>1298</v>
      </c>
      <c r="J553" s="316"/>
      <c r="K553" s="138"/>
      <c r="L553" s="138"/>
      <c r="M553" s="138"/>
      <c r="N553" s="138"/>
      <c r="O553" s="138"/>
      <c r="P553" s="138"/>
      <c r="Q553" s="311"/>
      <c r="R553" s="138"/>
      <c r="S553" s="138"/>
      <c r="T553" s="138"/>
      <c r="U553" s="138"/>
      <c r="V553" s="138"/>
      <c r="W553" s="138"/>
      <c r="X553" s="311"/>
      <c r="Y553" s="138"/>
      <c r="Z553" s="138"/>
      <c r="AA553" s="138"/>
      <c r="AB553" s="138"/>
      <c r="AC553" s="138"/>
      <c r="AD553" s="138"/>
      <c r="AE553" s="138"/>
      <c r="AF553" s="138"/>
      <c r="AG553" s="138"/>
      <c r="AH553" s="138"/>
      <c r="AI553" s="138"/>
      <c r="AJ553" s="138"/>
      <c r="AK553" s="138"/>
      <c r="AL553" s="138"/>
      <c r="AM553" s="138"/>
      <c r="AN553" s="138"/>
      <c r="AO553" s="138"/>
      <c r="AP553" s="138"/>
      <c r="AQ553" s="138"/>
      <c r="AR553" s="138"/>
      <c r="AS553" s="138"/>
      <c r="AT553" s="138"/>
      <c r="AU553" s="138"/>
      <c r="AV553" s="138"/>
      <c r="AW553" s="138"/>
      <c r="AX553" s="138"/>
      <c r="AY553" s="138"/>
      <c r="BB553" s="138"/>
      <c r="BC553" s="138"/>
      <c r="BD553" s="138"/>
      <c r="BE553" s="138"/>
      <c r="BF553" s="138"/>
      <c r="BG553" s="138"/>
      <c r="BH553" s="138"/>
      <c r="BI553" s="138"/>
    </row>
    <row r="554" spans="1:61" ht="15.65" customHeight="1">
      <c r="A554" s="138"/>
      <c r="B554" s="449"/>
      <c r="C554" s="284" t="str">
        <f>IF(Tool!$H$7="Français",G554,IF(Tool!$H$7="Italiano",I554,E554))</f>
        <v>Datum:</v>
      </c>
      <c r="D554" s="337"/>
      <c r="E554" s="296" t="s">
        <v>142</v>
      </c>
      <c r="F554" s="337"/>
      <c r="G554" s="296" t="s">
        <v>143</v>
      </c>
      <c r="H554" s="337"/>
      <c r="I554" s="296" t="s">
        <v>1299</v>
      </c>
      <c r="J554" s="316"/>
      <c r="K554" s="138"/>
      <c r="L554" s="138"/>
      <c r="M554" s="138"/>
      <c r="N554" s="138"/>
      <c r="O554" s="138"/>
      <c r="P554" s="138"/>
      <c r="Q554" s="138"/>
      <c r="R554" s="138"/>
      <c r="S554" s="138"/>
      <c r="T554" s="138"/>
      <c r="U554" s="138"/>
      <c r="V554" s="138"/>
      <c r="W554" s="138"/>
      <c r="X554" s="138"/>
      <c r="Y554" s="138"/>
      <c r="Z554" s="138"/>
      <c r="AA554" s="138"/>
      <c r="AB554" s="138"/>
      <c r="AC554" s="138"/>
      <c r="AD554" s="138"/>
      <c r="AE554" s="138"/>
      <c r="AF554" s="138"/>
      <c r="AG554" s="138"/>
      <c r="AH554" s="138"/>
      <c r="AI554" s="138"/>
      <c r="AJ554" s="138"/>
      <c r="AK554" s="138"/>
      <c r="AL554" s="138"/>
      <c r="AM554" s="138"/>
      <c r="AN554" s="138"/>
      <c r="AO554" s="138"/>
      <c r="AP554" s="138"/>
      <c r="AQ554" s="138"/>
      <c r="AR554" s="138"/>
      <c r="AS554" s="138"/>
      <c r="AT554" s="138"/>
      <c r="AU554" s="138"/>
      <c r="AV554" s="138"/>
      <c r="AW554" s="138"/>
      <c r="AX554" s="138"/>
      <c r="AY554" s="138"/>
      <c r="BB554" s="138"/>
      <c r="BC554" s="138"/>
      <c r="BD554" s="138"/>
      <c r="BE554" s="138"/>
      <c r="BF554" s="138"/>
      <c r="BG554" s="138"/>
      <c r="BH554" s="138"/>
      <c r="BI554" s="138"/>
    </row>
    <row r="555" spans="1:61" ht="15.65" customHeight="1">
      <c r="A555" s="138"/>
      <c r="B555" s="449"/>
      <c r="C555" s="284" t="str">
        <f>IF(Tool!$H$7="Français",G555,IF(Tool!$H$7="Italiano",I555,E555))</f>
        <v>Name des Projekts:</v>
      </c>
      <c r="D555" s="337"/>
      <c r="E555" s="296" t="str">
        <f>IF(Tool!M249="Français",
"Nom du projet :",
"Name des Projekts:")</f>
        <v>Name des Projekts:</v>
      </c>
      <c r="F555" s="337"/>
      <c r="G555" s="296" t="s">
        <v>111</v>
      </c>
      <c r="H555" s="337"/>
      <c r="I555" s="296" t="s">
        <v>1300</v>
      </c>
      <c r="J555" s="316"/>
      <c r="K555" s="138"/>
      <c r="L555" s="138"/>
      <c r="M555" s="138"/>
      <c r="N555" s="138"/>
      <c r="O555" s="138"/>
      <c r="P555" s="138"/>
      <c r="Q555" s="138"/>
      <c r="R555" s="138"/>
      <c r="S555" s="138"/>
      <c r="T555" s="138"/>
      <c r="U555" s="138"/>
      <c r="V555" s="138"/>
      <c r="W555" s="138"/>
      <c r="X555" s="138"/>
      <c r="Y555" s="138"/>
      <c r="Z555" s="138"/>
      <c r="AA555" s="138"/>
      <c r="AB555" s="138"/>
      <c r="AC555" s="138"/>
      <c r="AD555" s="138"/>
      <c r="AE555" s="138"/>
      <c r="AF555" s="138"/>
      <c r="AG555" s="138"/>
      <c r="AH555" s="138"/>
      <c r="AI555" s="138"/>
      <c r="AJ555" s="138"/>
      <c r="AK555" s="138"/>
      <c r="AL555" s="138"/>
      <c r="AM555" s="138"/>
      <c r="AN555" s="138"/>
      <c r="AO555" s="138"/>
      <c r="AP555" s="138"/>
      <c r="AQ555" s="138"/>
      <c r="AR555" s="138"/>
      <c r="AS555" s="138"/>
      <c r="AT555" s="138"/>
      <c r="AU555" s="138"/>
      <c r="AV555" s="138"/>
      <c r="AW555" s="138"/>
      <c r="AX555" s="138"/>
      <c r="AY555" s="138"/>
      <c r="BB555" s="138"/>
      <c r="BC555" s="138"/>
      <c r="BD555" s="138"/>
      <c r="BE555" s="138"/>
      <c r="BF555" s="138"/>
      <c r="BG555" s="138"/>
      <c r="BH555" s="138"/>
      <c r="BI555" s="138"/>
    </row>
    <row r="556" spans="1:61" ht="15.65" customHeight="1">
      <c r="A556" s="138"/>
      <c r="B556" s="449"/>
      <c r="C556" s="284" t="str">
        <f>IF(Tool!$H$7="Français",G556,IF(Tool!$H$7="Italiano",I556,E556))</f>
        <v>Stolperstein</v>
      </c>
      <c r="D556" s="337"/>
      <c r="E556" s="296" t="s">
        <v>127</v>
      </c>
      <c r="F556" s="337"/>
      <c r="G556" s="296" t="s">
        <v>147</v>
      </c>
      <c r="H556" s="337"/>
      <c r="I556" s="296" t="s">
        <v>1301</v>
      </c>
      <c r="J556" s="316"/>
      <c r="K556" s="138"/>
      <c r="L556" s="138"/>
      <c r="M556" s="138"/>
      <c r="N556" s="138"/>
      <c r="O556" s="138"/>
      <c r="P556" s="138"/>
      <c r="Q556" s="138"/>
      <c r="R556" s="138"/>
      <c r="S556" s="138"/>
      <c r="T556" s="138"/>
      <c r="U556" s="138"/>
      <c r="V556" s="138"/>
      <c r="W556" s="138"/>
      <c r="X556" s="138"/>
      <c r="Y556" s="138"/>
      <c r="Z556" s="138"/>
      <c r="AA556" s="138"/>
      <c r="AB556" s="138"/>
      <c r="AC556" s="138"/>
      <c r="AD556" s="138"/>
      <c r="AE556" s="138"/>
      <c r="AF556" s="138"/>
      <c r="AG556" s="138"/>
      <c r="AH556" s="138"/>
      <c r="AI556" s="138"/>
      <c r="AJ556" s="138"/>
      <c r="AK556" s="138"/>
      <c r="AL556" s="138"/>
      <c r="AM556" s="138"/>
      <c r="AN556" s="138"/>
      <c r="AO556" s="138"/>
      <c r="AP556" s="138"/>
      <c r="AQ556" s="138"/>
      <c r="AR556" s="138"/>
      <c r="AS556" s="138"/>
      <c r="AT556" s="138"/>
      <c r="AU556" s="138"/>
      <c r="AV556" s="138"/>
      <c r="AW556" s="138"/>
      <c r="AX556" s="138"/>
      <c r="AY556" s="138"/>
      <c r="BB556" s="138"/>
      <c r="BC556" s="138"/>
      <c r="BD556" s="138"/>
      <c r="BE556" s="138"/>
      <c r="BF556" s="138"/>
      <c r="BG556" s="138"/>
      <c r="BH556" s="138"/>
      <c r="BI556" s="138"/>
    </row>
    <row r="557" spans="1:61" ht="15.65" customHeight="1">
      <c r="A557" s="138"/>
      <c r="B557" s="449"/>
      <c r="C557" s="284" t="str">
        <f>IF(Tool!$H$7="Français",G557,IF(Tool!$H$7="Italiano",I557,E557))</f>
        <v>Ungenügend</v>
      </c>
      <c r="D557" s="337"/>
      <c r="E557" s="296" t="s">
        <v>51</v>
      </c>
      <c r="F557" s="337"/>
      <c r="G557" s="296" t="s">
        <v>146</v>
      </c>
      <c r="H557" s="337"/>
      <c r="I557" s="296" t="s">
        <v>1302</v>
      </c>
      <c r="J557" s="316"/>
      <c r="K557" s="138"/>
      <c r="L557" s="138"/>
      <c r="M557" s="138"/>
      <c r="N557" s="138"/>
      <c r="O557" s="138"/>
      <c r="P557" s="138"/>
      <c r="Q557" s="138"/>
      <c r="R557" s="138"/>
      <c r="S557" s="138"/>
      <c r="T557" s="138"/>
      <c r="U557" s="138"/>
      <c r="V557" s="138"/>
      <c r="W557" s="138"/>
      <c r="X557" s="138"/>
      <c r="Y557" s="138"/>
      <c r="Z557" s="138"/>
      <c r="AA557" s="138"/>
      <c r="AB557" s="138"/>
      <c r="AC557" s="138"/>
      <c r="AD557" s="138"/>
      <c r="AE557" s="138"/>
      <c r="AF557" s="138"/>
      <c r="AG557" s="138"/>
      <c r="AH557" s="138"/>
      <c r="AI557" s="138"/>
      <c r="AJ557" s="138"/>
      <c r="AK557" s="138"/>
      <c r="AL557" s="138"/>
      <c r="AM557" s="138"/>
      <c r="AN557" s="138"/>
      <c r="AO557" s="138"/>
      <c r="AP557" s="138"/>
      <c r="AQ557" s="138"/>
      <c r="AR557" s="138"/>
      <c r="AS557" s="138"/>
      <c r="AT557" s="138"/>
      <c r="AU557" s="138"/>
      <c r="AV557" s="138"/>
      <c r="AW557" s="138"/>
      <c r="AX557" s="144"/>
      <c r="AY557" s="138"/>
      <c r="BB557" s="138"/>
      <c r="BC557" s="138"/>
      <c r="BD557" s="138"/>
      <c r="BE557" s="138"/>
      <c r="BF557" s="138"/>
      <c r="BG557" s="138"/>
      <c r="BH557" s="138"/>
      <c r="BI557" s="138"/>
    </row>
    <row r="558" spans="1:61" ht="14.5" customHeight="1">
      <c r="A558" s="138"/>
      <c r="B558" s="449"/>
      <c r="C558" s="284" t="str">
        <f>IF(Tool!$H$7="Français",G558,IF(Tool!$H$7="Italiano",I558,E558))</f>
        <v>Genügend</v>
      </c>
      <c r="D558" s="337"/>
      <c r="E558" s="296" t="s">
        <v>50</v>
      </c>
      <c r="F558" s="337"/>
      <c r="G558" s="296" t="s">
        <v>145</v>
      </c>
      <c r="H558" s="337"/>
      <c r="I558" s="296" t="s">
        <v>1303</v>
      </c>
      <c r="J558" s="316"/>
      <c r="K558" s="138"/>
      <c r="L558" s="138"/>
      <c r="M558" s="138"/>
      <c r="N558" s="138"/>
      <c r="O558" s="138"/>
      <c r="P558" s="138"/>
      <c r="Q558" s="138"/>
      <c r="R558" s="138"/>
      <c r="S558" s="138"/>
      <c r="T558" s="138"/>
      <c r="U558" s="138"/>
      <c r="V558" s="138"/>
      <c r="W558" s="138"/>
      <c r="X558" s="138"/>
      <c r="Y558" s="138"/>
      <c r="Z558" s="138"/>
      <c r="AA558" s="138"/>
      <c r="AB558" s="138"/>
      <c r="AC558" s="138"/>
      <c r="AD558" s="138"/>
      <c r="AE558" s="138"/>
      <c r="AF558" s="138"/>
      <c r="AG558" s="138"/>
      <c r="AH558" s="138"/>
      <c r="AI558" s="138"/>
      <c r="AJ558" s="138"/>
      <c r="AK558" s="138"/>
      <c r="AL558" s="138"/>
      <c r="AM558" s="138"/>
      <c r="AN558" s="138"/>
      <c r="AO558" s="138"/>
      <c r="AP558" s="138"/>
      <c r="AQ558" s="138"/>
      <c r="AR558" s="138"/>
      <c r="AS558" s="138"/>
      <c r="AT558" s="138"/>
      <c r="AU558" s="138"/>
      <c r="AV558" s="138"/>
      <c r="AW558" s="138"/>
      <c r="AX558" s="138"/>
      <c r="AY558" s="138"/>
      <c r="BB558" s="138"/>
      <c r="BC558" s="138"/>
      <c r="BD558" s="138"/>
      <c r="BE558" s="138"/>
      <c r="BF558" s="138"/>
      <c r="BG558" s="138"/>
      <c r="BH558" s="138"/>
      <c r="BI558" s="138"/>
    </row>
    <row r="559" spans="1:61" ht="14.5" customHeight="1">
      <c r="A559" s="138"/>
      <c r="B559" s="439"/>
      <c r="C559" s="876" t="str">
        <f>IF(Tool!$H$7="Français",G559,IF(Tool!$H$7="Italiano",I559,E559))</f>
        <v>Gut</v>
      </c>
      <c r="D559" s="348"/>
      <c r="E559" s="298" t="s">
        <v>49</v>
      </c>
      <c r="F559" s="348"/>
      <c r="G559" s="298" t="s">
        <v>144</v>
      </c>
      <c r="H559" s="348"/>
      <c r="I559" s="346" t="s">
        <v>1799</v>
      </c>
      <c r="J559" s="316"/>
      <c r="K559" s="138"/>
      <c r="L559" s="138"/>
      <c r="M559" s="138"/>
      <c r="N559" s="138"/>
      <c r="O559" s="138"/>
      <c r="P559" s="138"/>
      <c r="Q559" s="138"/>
      <c r="R559" s="138"/>
      <c r="S559" s="138"/>
      <c r="T559" s="138"/>
      <c r="U559" s="138"/>
      <c r="V559" s="138"/>
      <c r="W559" s="138"/>
      <c r="X559" s="138"/>
      <c r="Y559" s="138"/>
      <c r="Z559" s="138"/>
      <c r="AA559" s="138"/>
      <c r="AB559" s="138"/>
      <c r="AC559" s="138"/>
      <c r="AD559" s="138"/>
      <c r="AE559" s="138"/>
      <c r="AF559" s="138"/>
      <c r="AG559" s="138"/>
      <c r="AH559" s="138"/>
      <c r="AI559" s="138"/>
      <c r="AJ559" s="138"/>
      <c r="AK559" s="138"/>
      <c r="AL559" s="138"/>
      <c r="AM559" s="138"/>
      <c r="AN559" s="138"/>
      <c r="AO559" s="138"/>
      <c r="AP559" s="138"/>
      <c r="AQ559" s="138"/>
      <c r="AR559" s="138"/>
      <c r="AS559" s="138"/>
      <c r="AT559" s="138"/>
      <c r="AU559" s="138"/>
      <c r="AV559" s="138"/>
      <c r="AW559" s="138"/>
      <c r="AX559" s="138"/>
      <c r="AY559" s="138"/>
      <c r="BB559" s="138"/>
      <c r="BC559" s="138"/>
      <c r="BD559" s="138"/>
      <c r="BE559" s="138"/>
      <c r="BF559" s="138"/>
      <c r="BG559" s="138"/>
      <c r="BH559" s="138"/>
      <c r="BI559" s="138"/>
    </row>
    <row r="560" spans="1:61" ht="14.5" customHeight="1">
      <c r="A560" s="138"/>
      <c r="B560" s="1627"/>
      <c r="C560" s="284" t="str">
        <f>IF(Tool!$H$7="Français",G560,IF(Tool!$H$7="Italiano",I560,E560))</f>
        <v>Überblick über die Bewertung</v>
      </c>
      <c r="D560" s="337"/>
      <c r="E560" s="326" t="s">
        <v>410</v>
      </c>
      <c r="F560" s="306"/>
      <c r="G560" s="326" t="s">
        <v>1918</v>
      </c>
      <c r="H560" s="306"/>
      <c r="I560" s="326" t="s">
        <v>1126</v>
      </c>
      <c r="J560" s="316"/>
      <c r="K560" s="138"/>
      <c r="L560" s="138"/>
      <c r="M560" s="138"/>
      <c r="N560" s="138"/>
      <c r="O560" s="138"/>
      <c r="P560" s="138"/>
      <c r="Q560" s="138"/>
      <c r="R560" s="138"/>
      <c r="S560" s="138"/>
      <c r="T560" s="138"/>
      <c r="U560" s="138"/>
      <c r="V560" s="138"/>
      <c r="W560" s="138"/>
      <c r="X560" s="138"/>
      <c r="Y560" s="138"/>
      <c r="Z560" s="138"/>
      <c r="AA560" s="138"/>
      <c r="AB560" s="138"/>
      <c r="AC560" s="138"/>
      <c r="AD560" s="138"/>
      <c r="AE560" s="138" t="s">
        <v>28</v>
      </c>
      <c r="AF560" s="138"/>
      <c r="AG560" s="138"/>
      <c r="AH560" s="138"/>
      <c r="AI560" s="138"/>
      <c r="AJ560" s="138"/>
      <c r="AK560" s="138"/>
      <c r="AL560" s="138"/>
      <c r="AM560" s="138"/>
      <c r="AN560" s="138"/>
      <c r="AO560" s="138"/>
      <c r="AP560" s="138"/>
      <c r="AQ560" s="138"/>
      <c r="AR560" s="138"/>
      <c r="AS560" s="138"/>
      <c r="AT560" s="138"/>
      <c r="AU560" s="138"/>
      <c r="AV560" s="138"/>
      <c r="AW560" s="138"/>
      <c r="AX560" s="138"/>
      <c r="AY560" s="138"/>
      <c r="BB560" s="138"/>
      <c r="BC560" s="138"/>
      <c r="BD560" s="138"/>
      <c r="BE560" s="138"/>
      <c r="BF560" s="138"/>
      <c r="BG560" s="138"/>
      <c r="BH560" s="138"/>
      <c r="BI560" s="138"/>
    </row>
    <row r="561" spans="1:61" ht="29.15" customHeight="1">
      <c r="A561" s="138"/>
      <c r="B561" s="449"/>
      <c r="C561" s="284" t="str">
        <f>IF(Tool!$H$7="Français",G561,IF(Tool!$H$7="Italiano",I561,E561))</f>
        <v>Die Illustrationen im Ergebnisregister fassen die Projektbewertung zusammen und bestehen aus zwei Teilen:</v>
      </c>
      <c r="D561" s="337"/>
      <c r="E561" s="296" t="s">
        <v>414</v>
      </c>
      <c r="F561" s="337"/>
      <c r="G561" s="296" t="s">
        <v>411</v>
      </c>
      <c r="H561" s="337"/>
      <c r="I561" s="296" t="s">
        <v>1664</v>
      </c>
      <c r="J561" s="316"/>
      <c r="K561" s="138"/>
      <c r="L561" s="138"/>
      <c r="M561" s="138"/>
      <c r="N561" s="138"/>
      <c r="O561" s="138"/>
      <c r="P561" s="138"/>
      <c r="Q561" s="138"/>
      <c r="R561" s="138"/>
      <c r="S561" s="138"/>
      <c r="T561" s="138"/>
      <c r="U561" s="138"/>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BB561" s="138"/>
      <c r="BC561" s="138"/>
      <c r="BD561" s="138"/>
      <c r="BE561" s="138"/>
      <c r="BF561" s="138"/>
      <c r="BG561" s="138"/>
      <c r="BH561" s="138"/>
      <c r="BI561" s="138"/>
    </row>
    <row r="562" spans="1:61" ht="14.5" customHeight="1">
      <c r="A562" s="138"/>
      <c r="B562" s="449"/>
      <c r="C562" s="284" t="str">
        <f>IF(Tool!$H$7="Français",G562,IF(Tool!$H$7="Italiano",I562,E562))</f>
        <v>Die erste Abbildung, steht die Bewertung der einzelnen Themen in Form von einem Spinnendiagram dar. Dieses ermöglicht die rasche Identifizierung von Stärken und Schwächen innerhalb des Projekts, aber auch den visuellen Vergleich zwischen Projektvarianten oder unterschiedlichen Projekten.</v>
      </c>
      <c r="D562" s="915"/>
      <c r="E562" s="296" t="s">
        <v>1494</v>
      </c>
      <c r="F562" s="296"/>
      <c r="G562" s="296" t="s">
        <v>413</v>
      </c>
      <c r="H562" s="915"/>
      <c r="I562" s="296" t="s">
        <v>1905</v>
      </c>
      <c r="J562" s="361"/>
      <c r="K562" s="138"/>
      <c r="L562" s="138"/>
      <c r="M562" s="138"/>
      <c r="N562" s="138"/>
      <c r="O562" s="138"/>
      <c r="P562" s="138"/>
      <c r="Q562" s="138"/>
      <c r="R562" s="138"/>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BB562" s="138"/>
      <c r="BC562" s="138"/>
      <c r="BD562" s="144"/>
      <c r="BE562" s="138"/>
      <c r="BF562" s="138"/>
      <c r="BG562" s="138"/>
      <c r="BH562" s="138"/>
      <c r="BI562" s="138"/>
    </row>
    <row r="563" spans="1:61" ht="15.65" customHeight="1">
      <c r="A563" s="138"/>
      <c r="B563" s="449"/>
      <c r="C563" s="284" t="str">
        <f>IF(Tool!$H$7="Français",G563,IF(Tool!$H$7="Italiano",I563,E563))</f>
        <v>Die ungenügende Kriterien sowie die ''Stolpersteine'' werden nachfolgend - auf die jeweiligen Bereiche aufgeteilt - noch spezifisch aufgeführt.</v>
      </c>
      <c r="D563" s="300"/>
      <c r="E563" s="296" t="s">
        <v>1292</v>
      </c>
      <c r="F563" s="308"/>
      <c r="G563" s="296" t="s">
        <v>1999</v>
      </c>
      <c r="H563" s="300"/>
      <c r="I563" s="296" t="s">
        <v>1665</v>
      </c>
      <c r="J563" s="316"/>
      <c r="K563" s="138"/>
      <c r="L563" s="138"/>
      <c r="M563" s="138"/>
      <c r="N563" s="138"/>
      <c r="O563" s="138"/>
      <c r="P563" s="138"/>
      <c r="Q563" s="138"/>
      <c r="R563" s="138"/>
      <c r="S563" s="138"/>
      <c r="T563" s="138"/>
      <c r="U563" s="138"/>
      <c r="V563" s="138"/>
      <c r="W563" s="138"/>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BB563" s="138"/>
      <c r="BC563" s="138"/>
      <c r="BD563" s="138"/>
      <c r="BE563" s="138"/>
      <c r="BF563" s="138"/>
      <c r="BG563" s="138"/>
      <c r="BH563" s="138"/>
      <c r="BI563" s="138"/>
    </row>
    <row r="564" spans="1:61" ht="15" customHeight="1">
      <c r="A564" s="138"/>
      <c r="B564" s="449"/>
      <c r="C564" s="284" t="str">
        <f>IF(Tool!$H$7="Français",G564,IF(Tool!$H$7="Italiano",I564,E564))</f>
        <v>Die folgenden Kriterien werden als "ungenügend" bewertet und erfordern Nachbesserungen, um den Nachhaltigkeitsansprüchen zu genügen:</v>
      </c>
      <c r="D564" s="337"/>
      <c r="E564" s="319" t="s">
        <v>1293</v>
      </c>
      <c r="F564" s="337"/>
      <c r="G564" s="319" t="s">
        <v>2000</v>
      </c>
      <c r="H564" s="337"/>
      <c r="I564" s="319" t="s">
        <v>1304</v>
      </c>
      <c r="J564" s="316"/>
      <c r="K564" s="138"/>
      <c r="L564" s="138"/>
      <c r="M564" s="138"/>
      <c r="N564" s="138"/>
      <c r="O564" s="138"/>
      <c r="P564" s="138"/>
      <c r="Q564" s="138"/>
      <c r="R564" s="138"/>
      <c r="S564" s="138"/>
      <c r="T564" s="138"/>
      <c r="U564" s="138"/>
      <c r="V564" s="138"/>
      <c r="W564" s="138"/>
      <c r="X564" s="138"/>
      <c r="Y564" s="138"/>
      <c r="Z564" s="138"/>
      <c r="AA564" s="138"/>
      <c r="AB564" s="138"/>
      <c r="AC564" s="138"/>
      <c r="AD564" s="138"/>
      <c r="AE564" s="138" t="s">
        <v>28</v>
      </c>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BB564" s="138"/>
      <c r="BC564" s="138"/>
      <c r="BD564" s="138"/>
      <c r="BE564" s="138"/>
      <c r="BF564" s="138"/>
      <c r="BG564" s="138"/>
      <c r="BH564" s="138"/>
      <c r="BI564" s="138"/>
    </row>
    <row r="565" spans="1:61" ht="15.65" customHeight="1">
      <c r="A565" s="138"/>
      <c r="B565" s="449"/>
      <c r="C565" s="284" t="str">
        <f>IF(Tool!$H$7="Français",G565,IF(Tool!$H$7="Italiano",I565,E565))</f>
        <v xml:space="preserve">Folgende Kriterien werden als "Stolpersteine" im Hinblick auf die Realisierung eines gesamtheitlich nachhaltigen Projektes identifiziert: </v>
      </c>
      <c r="D565" s="337"/>
      <c r="E565" s="319" t="s">
        <v>1294</v>
      </c>
      <c r="F565" s="337"/>
      <c r="G565" s="319" t="s">
        <v>2001</v>
      </c>
      <c r="H565" s="337"/>
      <c r="I565" s="319" t="s">
        <v>1305</v>
      </c>
      <c r="J565" s="316"/>
      <c r="K565" s="138"/>
      <c r="L565" s="138"/>
      <c r="M565" s="138"/>
      <c r="N565" s="138"/>
      <c r="O565" s="138"/>
      <c r="P565" s="138"/>
      <c r="Q565" s="138"/>
      <c r="R565" s="138"/>
      <c r="S565" s="138"/>
      <c r="T565" s="138"/>
      <c r="U565" s="138"/>
      <c r="V565" s="138"/>
      <c r="W565" s="138"/>
      <c r="X565" s="138"/>
      <c r="Y565" s="138"/>
      <c r="Z565" s="138"/>
      <c r="AA565" s="138"/>
      <c r="AB565" s="138"/>
      <c r="AC565" s="138"/>
      <c r="AD565" s="138"/>
      <c r="AE565" s="138"/>
      <c r="AF565" s="144"/>
      <c r="AG565" s="144"/>
      <c r="AH565" s="144"/>
      <c r="AI565" s="144"/>
      <c r="AJ565" s="144"/>
      <c r="AK565" s="144"/>
      <c r="AL565" s="144"/>
      <c r="AM565" s="144"/>
      <c r="AN565" s="144"/>
      <c r="AO565" s="144"/>
      <c r="AP565" s="144"/>
      <c r="AQ565" s="144"/>
      <c r="AR565" s="144"/>
      <c r="AS565" s="144"/>
      <c r="AT565" s="144"/>
      <c r="AU565" s="144"/>
      <c r="AV565" s="138"/>
      <c r="AW565" s="138"/>
      <c r="AX565" s="138"/>
      <c r="AY565" s="138"/>
      <c r="BB565" s="138"/>
      <c r="BC565" s="138"/>
      <c r="BD565" s="138"/>
      <c r="BE565" s="138"/>
      <c r="BF565" s="138"/>
      <c r="BG565" s="138"/>
      <c r="BH565" s="138"/>
      <c r="BI565" s="138"/>
    </row>
    <row r="566" spans="1:61" ht="15.65" customHeight="1">
      <c r="A566" s="138"/>
      <c r="B566" s="449"/>
      <c r="C566" s="284" t="str">
        <f>IF(Tool!$H$7="Français",G566,IF(Tool!$H$7="Italiano",I566,E566))</f>
        <v>In der Abbildung auf der zweiten Seite wird in Form von horizontalen Balken gezeigt, wie gut ein Projekt die Anforderungen des SNBS in den jeweiligen Themen der Bereiche Gesellschaft, Wirtschaft und Umwelt sowie in den Bereichen selbst erfüllt.</v>
      </c>
      <c r="D566" s="337"/>
      <c r="E566" s="319" t="s">
        <v>416</v>
      </c>
      <c r="F566" s="337"/>
      <c r="G566" s="319" t="s">
        <v>412</v>
      </c>
      <c r="H566" s="337"/>
      <c r="I566" s="319" t="s">
        <v>1306</v>
      </c>
      <c r="J566" s="290"/>
      <c r="K566" s="138"/>
      <c r="L566" s="138"/>
      <c r="M566" s="138"/>
      <c r="N566" s="138"/>
      <c r="O566" s="138"/>
      <c r="P566" s="138"/>
      <c r="Q566" s="138"/>
      <c r="R566" s="144"/>
      <c r="S566" s="144"/>
      <c r="T566" s="144"/>
      <c r="U566" s="144"/>
      <c r="V566" s="144"/>
      <c r="W566" s="144"/>
      <c r="X566" s="138"/>
      <c r="Y566" s="144"/>
      <c r="Z566" s="144"/>
      <c r="AA566" s="144"/>
      <c r="AB566" s="144"/>
      <c r="AC566" s="144"/>
      <c r="AD566" s="144"/>
      <c r="AE566" s="144"/>
      <c r="AF566" s="138"/>
      <c r="AG566" s="138"/>
      <c r="AH566" s="138"/>
      <c r="AI566" s="138"/>
      <c r="AJ566" s="138"/>
      <c r="AK566" s="138"/>
      <c r="AL566" s="138"/>
      <c r="AM566" s="138"/>
      <c r="AN566" s="138"/>
      <c r="AO566" s="138"/>
      <c r="AP566" s="138"/>
      <c r="AQ566" s="138"/>
      <c r="AR566" s="138"/>
      <c r="AS566" s="138"/>
      <c r="AT566" s="138"/>
      <c r="AU566" s="138"/>
      <c r="AV566" s="138"/>
      <c r="AW566" s="138"/>
      <c r="AX566" s="138"/>
      <c r="AY566" s="138"/>
      <c r="BB566" s="138"/>
      <c r="BC566" s="138"/>
      <c r="BD566" s="138"/>
      <c r="BE566" s="138"/>
      <c r="BF566" s="138"/>
      <c r="BG566" s="138"/>
      <c r="BH566" s="138"/>
      <c r="BI566" s="138"/>
    </row>
    <row r="567" spans="1:61" ht="15" customHeight="1">
      <c r="A567" s="311"/>
      <c r="B567" s="449"/>
      <c r="C567" s="284" t="str">
        <f>IF(Tool!$H$7="Français",G567,IF(Tool!$H$7="Italiano",I567,E567))</f>
        <v>Dazu werden die einzelnen Kriterien mit Farbcodes bewertet: Grüne Schrift und durchgestrichen bedeutet «gut», nur grüne Schrift steht für «genügend», rote Schrift steht für «ungenügend» und fette rote Schrift in rotem Rahmen kennzeichnet die «Stolpersteine».</v>
      </c>
      <c r="D567" s="337"/>
      <c r="E567" s="319" t="s">
        <v>1295</v>
      </c>
      <c r="F567" s="337"/>
      <c r="G567" s="319" t="s">
        <v>2002</v>
      </c>
      <c r="H567" s="337"/>
      <c r="I567" s="319" t="s">
        <v>1307</v>
      </c>
      <c r="J567" s="290"/>
      <c r="K567" s="138"/>
      <c r="L567" s="138"/>
      <c r="M567" s="138"/>
      <c r="N567" s="138"/>
      <c r="O567" s="138"/>
      <c r="P567" s="138"/>
      <c r="Q567" s="138"/>
      <c r="R567" s="138"/>
      <c r="S567" s="138"/>
      <c r="T567" s="138"/>
      <c r="U567" s="138"/>
      <c r="V567" s="138"/>
      <c r="W567" s="138"/>
      <c r="X567" s="138"/>
      <c r="Y567" s="138"/>
      <c r="Z567" s="138"/>
      <c r="AA567" s="138"/>
      <c r="AB567" s="138"/>
      <c r="AC567" s="138"/>
      <c r="AD567" s="138"/>
      <c r="AE567" s="138"/>
      <c r="AF567" s="138"/>
      <c r="AG567" s="138"/>
      <c r="AH567" s="138"/>
      <c r="AI567" s="138"/>
      <c r="AJ567" s="138"/>
      <c r="AK567" s="138"/>
      <c r="AL567" s="138"/>
      <c r="AM567" s="138"/>
      <c r="AN567" s="138"/>
      <c r="AO567" s="138"/>
      <c r="AP567" s="138"/>
      <c r="AQ567" s="138"/>
      <c r="AR567" s="138"/>
      <c r="AS567" s="138"/>
      <c r="AT567" s="138"/>
      <c r="AU567" s="138"/>
      <c r="AV567" s="138"/>
      <c r="AW567" s="138"/>
      <c r="AX567" s="138"/>
      <c r="AY567" s="138"/>
      <c r="BB567" s="138"/>
      <c r="BC567" s="138"/>
      <c r="BD567" s="138"/>
      <c r="BE567" s="144"/>
      <c r="BF567" s="144"/>
      <c r="BG567" s="144"/>
      <c r="BH567" s="144"/>
      <c r="BI567" s="144"/>
    </row>
    <row r="568" spans="1:61" ht="15" customHeight="1">
      <c r="A568" s="138"/>
      <c r="B568" s="449"/>
      <c r="C568" s="284" t="str">
        <f>IF(Tool!$H$7="Français",G568,IF(Tool!$H$7="Italiano",I568,E568))</f>
        <v>Im Bereich ''Gesellschaft'' wird ein Erfüllungsgrad von 0% erzielt</v>
      </c>
      <c r="D568" s="337"/>
      <c r="E568" s="319" t="str">
        <f>"Im Bereich ''Gesellschaft'' wird ein Erfüllungsgrad von "&amp;ROUND(Q314*100,0)&amp;"% erzielt"</f>
        <v>Im Bereich ''Gesellschaft'' wird ein Erfüllungsgrad von 0% erzielt</v>
      </c>
      <c r="F568" s="337"/>
      <c r="G568" s="319" t="str">
        <f>"Dans le domaine ''Société'', les exigences sont à "&amp;ROUND(Q$314*100,0)&amp;"% remplies"</f>
        <v>Dans le domaine ''Société'', les exigences sont à 0% remplies</v>
      </c>
      <c r="H568" s="337"/>
      <c r="I568" s="319" t="str">
        <f>"Nell'area “Società” viene raggiunto un grado di soddisfacimento del "&amp;ROUND(Q$314*100,0)&amp;"%"</f>
        <v>Nell'area “Società” viene raggiunto un grado di soddisfacimento del 0%</v>
      </c>
      <c r="J568" s="290"/>
      <c r="K568" s="138"/>
      <c r="L568" s="138"/>
      <c r="M568" s="138"/>
      <c r="N568" s="138"/>
      <c r="O568" s="138"/>
      <c r="P568" s="138"/>
      <c r="Q568" s="138"/>
      <c r="R568" s="138"/>
      <c r="S568" s="138"/>
      <c r="T568" s="138"/>
      <c r="U568" s="138"/>
      <c r="V568" s="138"/>
      <c r="W568" s="138"/>
      <c r="X568" s="138"/>
      <c r="Y568" s="138"/>
      <c r="Z568" s="138"/>
      <c r="AA568" s="138"/>
      <c r="AB568" s="138"/>
      <c r="AC568" s="138"/>
      <c r="AD568" s="138"/>
      <c r="AE568" s="138"/>
      <c r="AF568" s="138"/>
      <c r="AG568" s="138"/>
      <c r="AH568" s="138"/>
      <c r="AI568" s="138"/>
      <c r="AJ568" s="138"/>
      <c r="AK568" s="138"/>
      <c r="AL568" s="138"/>
      <c r="AM568" s="138"/>
      <c r="AN568" s="138"/>
      <c r="AO568" s="138"/>
      <c r="AP568" s="138"/>
      <c r="AQ568" s="138"/>
      <c r="AR568" s="138"/>
      <c r="AS568" s="138"/>
      <c r="AT568" s="138"/>
      <c r="AU568" s="138"/>
      <c r="AV568" s="138"/>
      <c r="AW568" s="138"/>
      <c r="AX568" s="138"/>
      <c r="AY568" s="138"/>
      <c r="BB568" s="138"/>
      <c r="BC568" s="138"/>
      <c r="BD568" s="138"/>
      <c r="BE568" s="138"/>
      <c r="BF568" s="138"/>
      <c r="BG568" s="138"/>
      <c r="BH568" s="138"/>
      <c r="BI568" s="138"/>
    </row>
    <row r="569" spans="1:61" ht="15" customHeight="1">
      <c r="A569" s="138"/>
      <c r="B569" s="449"/>
      <c r="C569" s="284" t="str">
        <f>IF(Tool!$H$7="Français",G569,IF(Tool!$H$7="Italiano",I569,E569))</f>
        <v>Im Bereich ''Wirtschaft'' wird ein Erfüllungsgrad von 0% erzielt</v>
      </c>
      <c r="D569" s="337"/>
      <c r="E569" s="319" t="str">
        <f>"Im Bereich ''Wirtschaft'' wird ein Erfüllungsgrad von "&amp;ROUND(Q320*100,0)&amp;"% erzielt"</f>
        <v>Im Bereich ''Wirtschaft'' wird ein Erfüllungsgrad von 0% erzielt</v>
      </c>
      <c r="F569" s="337"/>
      <c r="G569" s="319" t="str">
        <f>"Dans le domaine ''Economie'', les exigences sont à "&amp;ROUND(Q$320*100,0)&amp;"% remplies"</f>
        <v>Dans le domaine ''Economie'', les exigences sont à 0% remplies</v>
      </c>
      <c r="H569" s="337"/>
      <c r="I569" s="319" t="str">
        <f>"Nell'area “Economia” viene raggiunto un grado di soddisfacimento del "&amp;ROUND(Q$320*100,0)&amp;"%"</f>
        <v>Nell'area “Economia” viene raggiunto un grado di soddisfacimento del 0%</v>
      </c>
      <c r="J569" s="290"/>
      <c r="K569" s="138"/>
      <c r="L569" s="138"/>
      <c r="M569" s="138"/>
      <c r="N569" s="138"/>
      <c r="O569" s="138"/>
      <c r="P569" s="138"/>
      <c r="Q569" s="138"/>
      <c r="R569" s="138"/>
      <c r="S569" s="138"/>
      <c r="T569" s="138"/>
      <c r="U569" s="138"/>
      <c r="V569" s="138"/>
      <c r="W569" s="138"/>
      <c r="X569" s="138"/>
      <c r="Y569" s="138"/>
      <c r="Z569" s="138"/>
      <c r="AA569" s="138"/>
      <c r="AB569" s="138"/>
      <c r="AC569" s="138"/>
      <c r="AD569" s="138"/>
      <c r="AE569" s="138"/>
      <c r="AF569" s="138"/>
      <c r="AG569" s="138"/>
      <c r="AH569" s="138"/>
      <c r="AI569" s="138"/>
      <c r="AJ569" s="138"/>
      <c r="AK569" s="138"/>
      <c r="AL569" s="138"/>
      <c r="AM569" s="138"/>
      <c r="AN569" s="138"/>
      <c r="AO569" s="138"/>
      <c r="AP569" s="138"/>
      <c r="AQ569" s="138"/>
      <c r="AR569" s="138"/>
      <c r="AS569" s="138"/>
      <c r="AT569" s="138"/>
      <c r="AU569" s="138"/>
      <c r="AV569" s="138"/>
      <c r="AW569" s="138"/>
      <c r="AX569" s="138"/>
      <c r="AY569" s="138"/>
      <c r="BB569" s="138"/>
      <c r="BC569" s="138"/>
      <c r="BD569" s="138"/>
      <c r="BE569" s="138"/>
      <c r="BF569" s="138"/>
      <c r="BG569" s="138"/>
      <c r="BH569" s="138"/>
      <c r="BI569" s="138"/>
    </row>
    <row r="570" spans="1:61" ht="15" customHeight="1">
      <c r="A570" s="138"/>
      <c r="B570" s="449"/>
      <c r="C570" s="284" t="str">
        <f>IF(Tool!$H$7="Français",G570,IF(Tool!$H$7="Italiano",I570,E570))</f>
        <v>Im Bereich ''Umwelt'' wird ein Erfüllungsgrad von 0% erzielt</v>
      </c>
      <c r="D570" s="337"/>
      <c r="E570" s="319" t="str">
        <f>"Im Bereich ''Umwelt'' wird ein Erfüllungsgrad von "&amp;ROUND(Q325*100,0)&amp;"% erzielt"</f>
        <v>Im Bereich ''Umwelt'' wird ein Erfüllungsgrad von 0% erzielt</v>
      </c>
      <c r="F570" s="337"/>
      <c r="G570" s="319" t="str">
        <f>"Dans le domaine ''Environnement'', les exigences sont à "&amp;ROUND(Q$325*100,0)&amp;"% remplies"</f>
        <v>Dans le domaine ''Environnement'', les exigences sont à 0% remplies</v>
      </c>
      <c r="H570" s="337"/>
      <c r="I570" s="319" t="str">
        <f>"Nell'area “Ambiente” viene raggiunto un grado di soddisfacimento del "&amp;ROUND(Q$325*100,0)&amp;"%"</f>
        <v>Nell'area “Ambiente” viene raggiunto un grado di soddisfacimento del 0%</v>
      </c>
      <c r="J570" s="290"/>
      <c r="K570" s="138"/>
      <c r="L570" s="138"/>
      <c r="M570" s="138"/>
      <c r="N570" s="138"/>
      <c r="O570" s="138"/>
      <c r="P570" s="138"/>
      <c r="Q570" s="144"/>
      <c r="R570" s="138"/>
      <c r="S570" s="138"/>
      <c r="T570" s="138"/>
      <c r="U570" s="138"/>
      <c r="V570" s="138"/>
      <c r="W570" s="138"/>
      <c r="X570" s="144"/>
      <c r="Y570" s="138"/>
      <c r="Z570" s="138"/>
      <c r="AA570" s="138"/>
      <c r="AB570" s="138"/>
      <c r="AC570" s="138"/>
      <c r="AD570" s="138"/>
      <c r="AE570" s="138"/>
      <c r="AF570" s="138"/>
      <c r="AG570" s="138"/>
      <c r="AH570" s="138"/>
      <c r="AI570" s="138"/>
      <c r="AJ570" s="138"/>
      <c r="AK570" s="138"/>
      <c r="AL570" s="138"/>
      <c r="AM570" s="138"/>
      <c r="AN570" s="138"/>
      <c r="AO570" s="138"/>
      <c r="AP570" s="138"/>
      <c r="AQ570" s="138"/>
      <c r="AR570" s="138"/>
      <c r="AS570" s="138"/>
      <c r="AT570" s="138"/>
      <c r="AU570" s="138"/>
      <c r="AV570" s="138"/>
      <c r="AW570" s="138"/>
      <c r="AX570" s="138"/>
      <c r="AY570" s="138"/>
      <c r="BB570" s="138"/>
      <c r="BC570" s="138"/>
      <c r="BD570" s="138"/>
      <c r="BE570" s="138"/>
      <c r="BF570" s="138"/>
      <c r="BG570" s="138"/>
      <c r="BH570" s="138"/>
      <c r="BI570" s="138"/>
    </row>
    <row r="571" spans="1:61" ht="15" customHeight="1">
      <c r="A571" s="138"/>
      <c r="B571" s="449"/>
      <c r="C571" s="284" t="str">
        <f>IF(Tool!$H$7="Français",G571,IF(Tool!$H$7="Italiano",I571,E571))</f>
        <v>Im Bereich ''Gesellschaft'' wird ein Erfüllungsgrad von 0% erzielt</v>
      </c>
      <c r="D571" s="337"/>
      <c r="E571" s="319" t="str">
        <f>"Im Bereich ''Gesellschaft'' wird ein Erfüllungsgrad von "&amp;ROUND(R314*100,0)&amp;"% erzielt"</f>
        <v>Im Bereich ''Gesellschaft'' wird ein Erfüllungsgrad von 0% erzielt</v>
      </c>
      <c r="F571" s="337"/>
      <c r="G571" s="319" t="str">
        <f>"Dans le domaine ''Société'', les exigences sont à "&amp;ROUND(R$314*100,0)&amp;"% remplies"</f>
        <v>Dans le domaine ''Société'', les exigences sont à 0% remplies</v>
      </c>
      <c r="H571" s="337"/>
      <c r="I571" s="319" t="str">
        <f>"Nell'area “Società” viene raggiunto un grado di soddisfacimento del "&amp;ROUND(R$314*100,0)&amp;"%"</f>
        <v>Nell'area “Società” viene raggiunto un grado di soddisfacimento del 0%</v>
      </c>
      <c r="J571" s="290"/>
      <c r="K571" s="138"/>
      <c r="L571" s="138"/>
      <c r="M571" s="138"/>
      <c r="N571" s="138"/>
      <c r="O571" s="138"/>
      <c r="P571" s="138"/>
      <c r="Q571" s="144"/>
      <c r="R571" s="138"/>
      <c r="S571" s="138"/>
      <c r="T571" s="138"/>
      <c r="U571" s="138"/>
      <c r="V571" s="138"/>
      <c r="W571" s="138"/>
      <c r="X571" s="144"/>
      <c r="Y571" s="138"/>
      <c r="Z571" s="138"/>
      <c r="AA571" s="138"/>
      <c r="AB571" s="138"/>
      <c r="AC571" s="138"/>
      <c r="AD571" s="138"/>
      <c r="AE571" s="138"/>
      <c r="AF571" s="138"/>
      <c r="AG571" s="138"/>
      <c r="AH571" s="138"/>
      <c r="AI571" s="138"/>
      <c r="AJ571" s="138"/>
      <c r="AK571" s="138"/>
      <c r="AL571" s="138"/>
      <c r="AM571" s="138"/>
      <c r="AN571" s="138"/>
      <c r="AO571" s="138"/>
      <c r="AP571" s="138"/>
      <c r="AQ571" s="138"/>
      <c r="AR571" s="138"/>
      <c r="AS571" s="138"/>
      <c r="AT571" s="138"/>
      <c r="AU571" s="138"/>
      <c r="AV571" s="138"/>
      <c r="AW571" s="138"/>
      <c r="AX571" s="138"/>
      <c r="AY571" s="138"/>
      <c r="BB571" s="138"/>
      <c r="BC571" s="138"/>
      <c r="BD571" s="138"/>
      <c r="BE571" s="138"/>
      <c r="BF571" s="138"/>
      <c r="BG571" s="138"/>
      <c r="BH571" s="138"/>
      <c r="BI571" s="138"/>
    </row>
    <row r="572" spans="1:61" ht="15" customHeight="1">
      <c r="A572" s="138"/>
      <c r="B572" s="449"/>
      <c r="C572" s="284" t="str">
        <f>IF(Tool!$H$7="Français",G572,IF(Tool!$H$7="Italiano",I572,E572))</f>
        <v>Im Bereich ''Wirtschaft'' wird ein Erfüllungsgrad von 0% erzielt</v>
      </c>
      <c r="D572" s="337"/>
      <c r="E572" s="319" t="str">
        <f>"Im Bereich ''Wirtschaft'' wird ein Erfüllungsgrad von "&amp;ROUND(R320*100,0)&amp;"% erzielt"</f>
        <v>Im Bereich ''Wirtschaft'' wird ein Erfüllungsgrad von 0% erzielt</v>
      </c>
      <c r="F572" s="337"/>
      <c r="G572" s="319" t="str">
        <f>"Dans le domaine ''Economie'', les exigences sont à "&amp;ROUND(R$320*100,0)&amp;"% remplies"</f>
        <v>Dans le domaine ''Economie'', les exigences sont à 0% remplies</v>
      </c>
      <c r="H572" s="337"/>
      <c r="I572" s="319" t="str">
        <f>"Nell'area “Economia” viene raggiunto un grado di soddisfacimento del "&amp;ROUND(R$320*100,0)&amp;"%"</f>
        <v>Nell'area “Economia” viene raggiunto un grado di soddisfacimento del 0%</v>
      </c>
      <c r="J572" s="290"/>
      <c r="K572" s="138"/>
      <c r="L572" s="138"/>
      <c r="M572" s="138"/>
      <c r="N572" s="138"/>
      <c r="O572" s="138"/>
      <c r="P572" s="138"/>
      <c r="Q572" s="144"/>
      <c r="R572" s="138"/>
      <c r="S572" s="138"/>
      <c r="T572" s="138"/>
      <c r="U572" s="138"/>
      <c r="V572" s="138"/>
      <c r="W572" s="138"/>
      <c r="X572" s="144"/>
      <c r="Y572" s="138"/>
      <c r="Z572" s="138"/>
      <c r="AA572" s="138"/>
      <c r="AB572" s="138"/>
      <c r="AC572" s="138"/>
      <c r="AD572" s="138"/>
      <c r="AE572" s="138"/>
      <c r="AF572" s="138"/>
      <c r="AG572" s="138"/>
      <c r="AH572" s="138"/>
      <c r="AI572" s="138"/>
      <c r="AJ572" s="138"/>
      <c r="AK572" s="138"/>
      <c r="AL572" s="138"/>
      <c r="AM572" s="138"/>
      <c r="AN572" s="138"/>
      <c r="AO572" s="138"/>
      <c r="AP572" s="138"/>
      <c r="AQ572" s="138"/>
      <c r="AR572" s="138"/>
      <c r="AS572" s="138"/>
      <c r="AT572" s="138"/>
      <c r="AU572" s="138"/>
      <c r="AV572" s="138"/>
      <c r="AW572" s="138"/>
      <c r="AX572" s="138"/>
      <c r="AY572" s="138"/>
      <c r="BB572" s="138"/>
      <c r="BC572" s="138"/>
      <c r="BD572" s="138"/>
      <c r="BE572" s="138"/>
      <c r="BF572" s="138"/>
      <c r="BG572" s="138"/>
      <c r="BH572" s="138"/>
      <c r="BI572" s="138"/>
    </row>
    <row r="573" spans="1:61" ht="15" customHeight="1">
      <c r="A573" s="138"/>
      <c r="B573" s="449"/>
      <c r="C573" s="284" t="str">
        <f>IF(Tool!$H$7="Français",G573,IF(Tool!$H$7="Italiano",I573,E573))</f>
        <v>Im Bereich ''Umwelt'' wird ein Erfüllungsgrad von 0% erzielt</v>
      </c>
      <c r="D573" s="337"/>
      <c r="E573" s="319" t="str">
        <f>"Im Bereich ''Umwelt'' wird ein Erfüllungsgrad von "&amp;ROUND(R325*100,0)&amp;"% erzielt"</f>
        <v>Im Bereich ''Umwelt'' wird ein Erfüllungsgrad von 0% erzielt</v>
      </c>
      <c r="F573" s="337"/>
      <c r="G573" s="319" t="str">
        <f>"Dans le domaine ''Environnement'', les exigences sont à "&amp;ROUND(R$325*100,0)&amp;"% remplies"</f>
        <v>Dans le domaine ''Environnement'', les exigences sont à 0% remplies</v>
      </c>
      <c r="H573" s="337"/>
      <c r="I573" s="319" t="str">
        <f>"Nell'area “Ambiente” viene raggiunto un grado di soddisfacimento del "&amp;ROUND(R$325*100,0)&amp;"%"</f>
        <v>Nell'area “Ambiente” viene raggiunto un grado di soddisfacimento del 0%</v>
      </c>
      <c r="J573" s="290"/>
      <c r="K573" s="138"/>
      <c r="L573" s="138"/>
      <c r="M573" s="138"/>
      <c r="N573" s="138"/>
      <c r="O573" s="138"/>
      <c r="P573" s="138"/>
      <c r="Q573" s="144"/>
      <c r="R573" s="138"/>
      <c r="S573" s="138"/>
      <c r="T573" s="138"/>
      <c r="U573" s="138"/>
      <c r="V573" s="138"/>
      <c r="W573" s="138"/>
      <c r="X573" s="144"/>
      <c r="Y573" s="138"/>
      <c r="Z573" s="138"/>
      <c r="AA573" s="138"/>
      <c r="AB573" s="138"/>
      <c r="AC573" s="138"/>
      <c r="AD573" s="138"/>
      <c r="AE573" s="138"/>
      <c r="AF573" s="144"/>
      <c r="AG573" s="144"/>
      <c r="AH573" s="144"/>
      <c r="AI573" s="144"/>
      <c r="AJ573" s="144"/>
      <c r="AK573" s="144"/>
      <c r="AL573" s="144"/>
      <c r="AM573" s="144"/>
      <c r="AN573" s="144"/>
      <c r="AO573" s="144"/>
      <c r="AP573" s="144"/>
      <c r="AQ573" s="144"/>
      <c r="AR573" s="144"/>
      <c r="AS573" s="144"/>
      <c r="AT573" s="144"/>
      <c r="AU573" s="144"/>
      <c r="AV573" s="138"/>
      <c r="AW573" s="138"/>
      <c r="AX573" s="138"/>
      <c r="AY573" s="138"/>
      <c r="BB573" s="138"/>
      <c r="BC573" s="138"/>
      <c r="BD573" s="138"/>
      <c r="BE573" s="138"/>
      <c r="BF573" s="138"/>
      <c r="BG573" s="138"/>
      <c r="BH573" s="138"/>
      <c r="BI573" s="138"/>
    </row>
    <row r="574" spans="1:61" ht="29">
      <c r="A574" s="138"/>
      <c r="B574" s="347"/>
      <c r="C574" s="284" t="str">
        <f>IF(Tool!$H$7="Français",G574,IF(Tool!$H$7="Italiano",I574,E574))</f>
        <v>Bei Erneuerungen dürften im Rahmen einer SNBS-Zertifizierung folgende Kriterien eine ungenügende Bewertung aufweisen, solange die Durchschnittsbenotung im übergeordneten Thema genügend bleibt:</v>
      </c>
      <c r="D574" s="300"/>
      <c r="E574" s="319" t="s">
        <v>1296</v>
      </c>
      <c r="F574" s="308"/>
      <c r="G574" s="319" t="s">
        <v>2003</v>
      </c>
      <c r="H574" s="300"/>
      <c r="I574" s="319" t="s">
        <v>1906</v>
      </c>
      <c r="J574" s="290"/>
      <c r="K574" s="138"/>
      <c r="L574" s="138"/>
      <c r="M574" s="138"/>
      <c r="N574" s="138"/>
      <c r="O574" s="138"/>
      <c r="P574" s="138"/>
      <c r="Q574" s="138"/>
      <c r="R574" s="138"/>
      <c r="S574" s="144"/>
      <c r="T574" s="144"/>
      <c r="U574" s="144"/>
      <c r="V574" s="144"/>
      <c r="W574" s="144"/>
      <c r="X574" s="138"/>
      <c r="Y574" s="138"/>
      <c r="Z574" s="144"/>
      <c r="AA574" s="144"/>
      <c r="AB574" s="144"/>
      <c r="AC574" s="144"/>
      <c r="AD574" s="144"/>
      <c r="AE574" s="144"/>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BB574" s="138"/>
      <c r="BC574" s="138"/>
      <c r="BD574" s="138"/>
      <c r="BE574" s="138"/>
      <c r="BF574" s="138"/>
      <c r="BG574" s="138"/>
      <c r="BH574" s="138"/>
      <c r="BI574" s="138"/>
    </row>
    <row r="575" spans="1:61">
      <c r="A575" s="138"/>
      <c r="B575" s="347"/>
      <c r="C575" s="284" t="str">
        <f>IF(Tool!$H$7="Français",G575,IF(Tool!$H$7="Italiano",I575,E575))</f>
        <v>Bewertung der Kriterien</v>
      </c>
      <c r="D575" s="300"/>
      <c r="E575" s="319" t="s">
        <v>462</v>
      </c>
      <c r="F575" s="308"/>
      <c r="G575" s="319" t="s">
        <v>463</v>
      </c>
      <c r="H575" s="300"/>
      <c r="I575" s="319" t="s">
        <v>1309</v>
      </c>
      <c r="J575" s="290"/>
      <c r="K575" s="138"/>
      <c r="L575" s="138"/>
      <c r="M575" s="138"/>
      <c r="N575" s="138"/>
      <c r="O575" s="138"/>
      <c r="P575" s="138"/>
      <c r="Q575" s="138"/>
      <c r="R575" s="138"/>
      <c r="S575" s="138"/>
      <c r="T575" s="138"/>
      <c r="U575" s="138"/>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BB575" s="138"/>
      <c r="BC575" s="138"/>
      <c r="BD575" s="138"/>
      <c r="BE575" s="138"/>
      <c r="BF575" s="138"/>
      <c r="BG575" s="138"/>
      <c r="BH575" s="138"/>
      <c r="BI575" s="138"/>
    </row>
    <row r="576" spans="1:61">
      <c r="A576" s="138"/>
      <c r="B576" s="347"/>
      <c r="C576" s="284" t="str">
        <f>IF(Tool!$H$7="Français",G576,IF(Tool!$H$7="Italiano",I576,E576))</f>
        <v>Ergebnisdarstellung für den Klima-Check</v>
      </c>
      <c r="D576" s="300"/>
      <c r="E576" s="319" t="s">
        <v>581</v>
      </c>
      <c r="F576" s="308"/>
      <c r="G576" s="319" t="s">
        <v>572</v>
      </c>
      <c r="H576" s="300"/>
      <c r="I576" s="319" t="s">
        <v>1314</v>
      </c>
      <c r="J576" s="290"/>
      <c r="K576" s="138"/>
      <c r="L576" s="138"/>
      <c r="M576" s="138"/>
      <c r="N576" s="138"/>
      <c r="O576" s="138"/>
      <c r="P576" s="138"/>
      <c r="Q576" s="138"/>
      <c r="R576" s="138"/>
      <c r="S576" s="138"/>
      <c r="T576" s="138"/>
      <c r="U576" s="138"/>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BB576" s="138"/>
      <c r="BC576" s="138"/>
      <c r="BD576" s="138"/>
      <c r="BE576" s="138"/>
      <c r="BF576" s="138"/>
      <c r="BG576" s="138"/>
      <c r="BH576" s="138"/>
      <c r="BI576" s="138"/>
    </row>
    <row r="577" spans="1:61">
      <c r="A577" s="138"/>
      <c r="B577" s="347"/>
      <c r="C577" s="284" t="str">
        <f>IF(Tool!$H$7="Français",G577,IF(Tool!$H$7="Italiano",I577,E577))</f>
        <v>Bewertung der Kriterien</v>
      </c>
      <c r="D577" s="300"/>
      <c r="E577" s="319" t="s">
        <v>462</v>
      </c>
      <c r="F577" s="308"/>
      <c r="G577" s="319" t="s">
        <v>463</v>
      </c>
      <c r="H577" s="300"/>
      <c r="I577" s="319" t="s">
        <v>1309</v>
      </c>
      <c r="J577" s="290"/>
      <c r="K577" s="138"/>
      <c r="L577" s="138"/>
      <c r="M577" s="138"/>
      <c r="N577" s="138"/>
      <c r="O577" s="138"/>
      <c r="P577" s="138"/>
      <c r="Q577" s="138"/>
      <c r="R577" s="138"/>
      <c r="S577" s="138"/>
      <c r="T577" s="138"/>
      <c r="U577" s="138"/>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BB577" s="138"/>
      <c r="BC577" s="138"/>
      <c r="BD577" s="138"/>
      <c r="BE577" s="138"/>
      <c r="BF577" s="138"/>
      <c r="BG577" s="138"/>
      <c r="BH577" s="138"/>
      <c r="BI577" s="138"/>
    </row>
    <row r="578" spans="1:61">
      <c r="A578" s="138"/>
      <c r="B578" s="347"/>
      <c r="C578" s="284" t="str">
        <f>IF(Tool!$H$7="Français",G578,IF(Tool!$H$7="Italiano",I578,E578))</f>
        <v>Das Projekt wurde als 0 % nachhaltig beim Pre-Check bewertet</v>
      </c>
      <c r="D578" s="300"/>
      <c r="E578" s="319" t="str">
        <f>"Das Projekt wurde als "&amp;ROUND(Q312*100,0)&amp;" % nachhaltig beim Pre-Check bewertet"</f>
        <v>Das Projekt wurde als 0 % nachhaltig beim Pre-Check bewertet</v>
      </c>
      <c r="F578" s="308"/>
      <c r="G578" s="319" t="str">
        <f>"Le projet a été évalué comme durable à "&amp;ROUND(Q$312*100,0)&amp;" % au Pre-Check"</f>
      </c>
      <c r="H578" s="300"/>
      <c r="I578" s="319" t="str">
        <f>"Il progetto è stato valutato come "&amp;ROUND(Q312*100,0)&amp;"% sostenibile nel Pre-Check"</f>
      </c>
      <c r="J578" s="290"/>
      <c r="K578" s="138"/>
      <c r="L578" s="138"/>
      <c r="M578" s="138"/>
      <c r="N578" s="138"/>
      <c r="O578" s="138"/>
      <c r="P578" s="138"/>
      <c r="Q578" s="138"/>
      <c r="R578" s="138"/>
      <c r="S578" s="138"/>
      <c r="T578" s="138"/>
      <c r="U578" s="138"/>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44"/>
      <c r="AW578" s="144"/>
      <c r="AX578" s="138"/>
      <c r="AY578" s="138"/>
      <c r="BB578" s="138"/>
      <c r="BC578" s="138"/>
      <c r="BD578" s="138"/>
      <c r="BE578" s="138"/>
      <c r="BF578" s="138"/>
      <c r="BG578" s="138"/>
      <c r="BH578" s="138"/>
      <c r="BI578" s="138"/>
    </row>
    <row r="579" spans="1:61">
      <c r="A579" s="138"/>
      <c r="B579" s="347"/>
      <c r="C579" s="284" t="str">
        <f>IF(Tool!$H$7="Français",G579,IF(Tool!$H$7="Italiano",I579,E579))</f>
        <v>Das Projekt wurde als 0 % nachhaltig beim Klima-Check bewertet</v>
      </c>
      <c r="D579" s="300"/>
      <c r="E579" s="319" t="str">
        <f>"Das Projekt wurde als "&amp;ROUND(R312*100,0)&amp;" % nachhaltig beim Klima-Check bewertet"</f>
        <v>Das Projekt wurde als 0 % nachhaltig beim Klima-Check bewertet</v>
      </c>
      <c r="F579" s="308"/>
      <c r="G579" s="319" t="str">
        <f>"Le projet a été évalué comme durable à "&amp;ROUND(Q$331*100,0)&amp;" % au Check Climat"</f>
        <v>Le projet a été évalué comme durable à 0 % au Check Climat</v>
      </c>
      <c r="H579" s="300"/>
      <c r="I579" s="319" t="str">
        <f>"Il progetto è stato valutato come "&amp;ROUND(Q331*100,0)&amp;"% sostenibile nel Check Clima"</f>
        <v>Il progetto è stato valutato come 0% sostenibile nel Check Clima</v>
      </c>
      <c r="J579" s="290"/>
      <c r="K579" s="138"/>
      <c r="L579" s="138"/>
      <c r="M579" s="138"/>
      <c r="N579" s="138"/>
      <c r="O579" s="138"/>
      <c r="P579" s="138"/>
      <c r="Q579" s="138"/>
      <c r="R579" s="138"/>
      <c r="S579" s="138"/>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BB579" s="138"/>
      <c r="BC579" s="138"/>
      <c r="BD579" s="138"/>
      <c r="BE579" s="138"/>
      <c r="BF579" s="138"/>
      <c r="BG579" s="138"/>
      <c r="BH579" s="138"/>
      <c r="BI579" s="138"/>
    </row>
    <row r="580" spans="1:61">
      <c r="A580" s="138"/>
      <c r="B580" s="347"/>
      <c r="C580" s="284" t="str">
        <f>IF(Tool!$H$7="Français",G580,IF(Tool!$H$7="Italiano",I580,E580))</f>
        <v>Struktur der «Klima-Check» Ergebnisdarstellung</v>
      </c>
      <c r="D580" s="300"/>
      <c r="E580" s="319" t="s">
        <v>582</v>
      </c>
      <c r="F580" s="308"/>
      <c r="G580" s="319" t="s">
        <v>573</v>
      </c>
      <c r="H580" s="300"/>
      <c r="I580" s="319" t="s">
        <v>1315</v>
      </c>
      <c r="J580" s="290"/>
      <c r="K580" s="138"/>
      <c r="L580" s="138"/>
      <c r="M580" s="138"/>
      <c r="N580" s="138"/>
      <c r="O580" s="138"/>
      <c r="P580" s="138"/>
      <c r="Q580" s="138"/>
      <c r="R580" s="138"/>
      <c r="S580" s="138"/>
      <c r="T580" s="138"/>
      <c r="U580" s="138"/>
      <c r="V580" s="138"/>
      <c r="W580" s="138"/>
      <c r="X580" s="138"/>
      <c r="Y580" s="138"/>
      <c r="Z580" s="138"/>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BB580" s="138"/>
      <c r="BC580" s="138"/>
      <c r="BD580" s="138"/>
      <c r="BE580" s="138"/>
      <c r="BF580" s="138"/>
      <c r="BG580" s="138"/>
      <c r="BH580" s="138"/>
      <c r="BI580" s="138"/>
    </row>
    <row r="581" spans="1:61">
      <c r="A581" s="138"/>
      <c r="B581" s="347"/>
      <c r="C581" s="284" t="str">
        <f>IF(Tool!$H$7="Français",G581,IF(Tool!$H$7="Italiano",I581,E581))</f>
        <v>Die «Klima-Check» Ergebnisdarstellung basiert auf SNBS-Kriterien, die zur Abbildung der Klimawandelthemen angepasst wurden</v>
      </c>
      <c r="D581" s="300"/>
      <c r="E581" s="319" t="s">
        <v>583</v>
      </c>
      <c r="F581" s="308"/>
      <c r="G581" s="319" t="s">
        <v>574</v>
      </c>
      <c r="H581" s="300"/>
      <c r="I581" s="319" t="s">
        <v>1316</v>
      </c>
      <c r="J581" s="290"/>
      <c r="K581" s="138"/>
      <c r="L581" s="138"/>
      <c r="M581" s="138"/>
      <c r="N581" s="138"/>
      <c r="O581" s="138"/>
      <c r="P581" s="138"/>
      <c r="Q581" s="138"/>
      <c r="R581" s="138"/>
      <c r="S581" s="138"/>
      <c r="T581" s="138"/>
      <c r="U581" s="138"/>
      <c r="V581" s="138"/>
      <c r="W581" s="138"/>
      <c r="X581" s="138"/>
      <c r="Y581" s="138"/>
      <c r="Z581" s="138"/>
      <c r="AA581" s="138"/>
      <c r="AB581" s="138"/>
      <c r="AC581" s="138"/>
      <c r="AD581" s="138"/>
      <c r="AE581" s="138"/>
      <c r="AF581" s="138"/>
      <c r="AG581" s="138"/>
      <c r="AH581" s="138"/>
      <c r="AI581" s="138"/>
      <c r="AJ581" s="138"/>
      <c r="AK581" s="138"/>
      <c r="AL581" s="138"/>
      <c r="AM581" s="138"/>
      <c r="AN581" s="138"/>
      <c r="AO581" s="138"/>
      <c r="AP581" s="138"/>
      <c r="AQ581" s="138"/>
      <c r="AR581" s="138"/>
      <c r="AS581" s="138"/>
      <c r="AT581" s="138"/>
      <c r="AU581" s="138"/>
      <c r="AV581" s="138"/>
      <c r="AW581" s="138"/>
      <c r="AX581" s="138"/>
      <c r="AY581" s="138"/>
      <c r="BB581" s="138"/>
      <c r="BC581" s="138"/>
      <c r="BD581" s="138"/>
      <c r="BE581" s="138"/>
      <c r="BF581" s="138"/>
      <c r="BG581" s="138"/>
      <c r="BH581" s="138"/>
      <c r="BI581" s="138"/>
    </row>
    <row r="582" spans="1:61">
      <c r="A582" s="138"/>
      <c r="B582" s="347"/>
      <c r="C582" s="284" t="str">
        <f>IF(Tool!$H$7="Français",G582,IF(Tool!$H$7="Italiano",I582,E582))</f>
        <v>Einige Kriterien erhalten einen neuen Bezeichnung:</v>
      </c>
      <c r="D582" s="300"/>
      <c r="E582" s="319" t="s">
        <v>487</v>
      </c>
      <c r="F582" s="308"/>
      <c r="G582" s="319" t="s">
        <v>464</v>
      </c>
      <c r="H582" s="300"/>
      <c r="I582" s="319" t="s">
        <v>1310</v>
      </c>
      <c r="J582" s="290"/>
      <c r="K582" s="138"/>
      <c r="L582" s="138"/>
      <c r="M582" s="138"/>
      <c r="N582" s="138"/>
      <c r="O582" s="138"/>
      <c r="P582" s="138"/>
      <c r="Q582" s="138"/>
      <c r="R582" s="138"/>
      <c r="S582" s="138"/>
      <c r="T582" s="138"/>
      <c r="U582" s="138"/>
      <c r="V582" s="138"/>
      <c r="W582" s="138"/>
      <c r="X582" s="138"/>
      <c r="Y582" s="138"/>
      <c r="Z582" s="138"/>
      <c r="AA582" s="138"/>
      <c r="AB582" s="138"/>
      <c r="AC582" s="138"/>
      <c r="AD582" s="138"/>
      <c r="AE582" s="138"/>
      <c r="AF582" s="138"/>
      <c r="AG582" s="138"/>
      <c r="AH582" s="138"/>
      <c r="AI582" s="138"/>
      <c r="AJ582" s="138"/>
      <c r="AK582" s="138"/>
      <c r="AL582" s="138"/>
      <c r="AM582" s="138"/>
      <c r="AN582" s="138"/>
      <c r="AO582" s="138"/>
      <c r="AP582" s="138"/>
      <c r="AQ582" s="138"/>
      <c r="AR582" s="138"/>
      <c r="AS582" s="138"/>
      <c r="AT582" s="138"/>
      <c r="AU582" s="138"/>
      <c r="AV582" s="138"/>
      <c r="AW582" s="138"/>
      <c r="AX582" s="138"/>
      <c r="AY582" s="138"/>
      <c r="BB582" s="138"/>
      <c r="BC582" s="138"/>
      <c r="BD582" s="138"/>
      <c r="BE582" s="138"/>
      <c r="BF582" s="138"/>
      <c r="BG582" s="138"/>
      <c r="BH582" s="138"/>
      <c r="BI582" s="138"/>
    </row>
    <row r="583" spans="1:61">
      <c r="A583" s="138"/>
      <c r="B583" s="347"/>
      <c r="C583" s="284" t="str">
        <f>IF(Tool!$H$7="Français",G583,IF(Tool!$H$7="Italiano",I583,E583))</f>
        <v>Einige Kriterien bleiben unverändert:</v>
      </c>
      <c r="D583" s="300"/>
      <c r="E583" s="319" t="s">
        <v>486</v>
      </c>
      <c r="F583" s="308"/>
      <c r="G583" s="319" t="s">
        <v>465</v>
      </c>
      <c r="H583" s="300"/>
      <c r="I583" s="319" t="s">
        <v>1311</v>
      </c>
      <c r="J583" s="290"/>
      <c r="K583" s="138"/>
      <c r="L583" s="138"/>
      <c r="M583" s="138"/>
      <c r="N583" s="138"/>
      <c r="O583" s="138"/>
      <c r="P583" s="138"/>
      <c r="Q583" s="138"/>
      <c r="R583" s="138"/>
      <c r="S583" s="138"/>
      <c r="T583" s="138"/>
      <c r="U583" s="138"/>
      <c r="V583" s="138"/>
      <c r="W583" s="138"/>
      <c r="X583" s="138"/>
      <c r="Y583" s="138"/>
      <c r="Z583" s="138"/>
      <c r="AA583" s="138"/>
      <c r="AB583" s="138"/>
      <c r="AC583" s="138"/>
      <c r="AD583" s="138"/>
      <c r="AE583" s="138"/>
      <c r="AF583" s="138"/>
      <c r="AG583" s="138"/>
      <c r="AH583" s="138"/>
      <c r="AI583" s="138"/>
      <c r="AJ583" s="138"/>
      <c r="AK583" s="138"/>
      <c r="AL583" s="138"/>
      <c r="AM583" s="138"/>
      <c r="AN583" s="138"/>
      <c r="AO583" s="138"/>
      <c r="AP583" s="138"/>
      <c r="AQ583" s="138"/>
      <c r="AR583" s="138"/>
      <c r="AS583" s="138"/>
      <c r="AT583" s="138"/>
      <c r="AU583" s="138"/>
      <c r="AV583" s="138"/>
      <c r="AW583" s="138"/>
      <c r="AX583" s="138"/>
      <c r="AY583" s="138"/>
      <c r="BB583" s="138"/>
      <c r="BC583" s="138"/>
      <c r="BD583" s="138"/>
      <c r="BE583" s="138"/>
      <c r="BF583" s="138"/>
      <c r="BG583" s="138"/>
      <c r="BH583" s="138"/>
      <c r="BI583" s="138"/>
    </row>
    <row r="584" spans="1:61">
      <c r="A584" s="138"/>
      <c r="B584" s="347"/>
      <c r="C584" s="284" t="str">
        <f>IF(Tool!$H$7="Français",G584,IF(Tool!$H$7="Italiano",I584,E584))</f>
        <v>Einige Kriterien werden herausgenommen:</v>
      </c>
      <c r="D584" s="300"/>
      <c r="E584" s="319" t="s">
        <v>488</v>
      </c>
      <c r="F584" s="308"/>
      <c r="G584" s="319" t="s">
        <v>466</v>
      </c>
      <c r="H584" s="300"/>
      <c r="I584" s="319" t="s">
        <v>1312</v>
      </c>
      <c r="J584" s="138"/>
      <c r="K584" s="138"/>
      <c r="L584" s="138"/>
      <c r="M584" s="138"/>
      <c r="N584" s="138"/>
      <c r="O584" s="138"/>
      <c r="P584" s="138"/>
      <c r="Q584" s="138"/>
      <c r="R584" s="138"/>
      <c r="S584" s="138"/>
      <c r="T584" s="138"/>
      <c r="U584" s="138"/>
      <c r="V584" s="138"/>
      <c r="W584" s="138"/>
      <c r="X584" s="138"/>
      <c r="Y584" s="138"/>
      <c r="Z584" s="138"/>
      <c r="AA584" s="138"/>
      <c r="AB584" s="138"/>
      <c r="AC584" s="138"/>
      <c r="AD584" s="138"/>
      <c r="AE584" s="138"/>
      <c r="AF584" s="138"/>
      <c r="AG584" s="138"/>
      <c r="AH584" s="138"/>
      <c r="AI584" s="138"/>
      <c r="AJ584" s="138"/>
      <c r="AK584" s="138"/>
      <c r="AL584" s="138"/>
      <c r="AM584" s="138"/>
      <c r="AN584" s="138"/>
      <c r="AO584" s="138"/>
      <c r="AP584" s="138"/>
      <c r="AQ584" s="138"/>
      <c r="AR584" s="138"/>
      <c r="AS584" s="138"/>
      <c r="AT584" s="138"/>
      <c r="AU584" s="138"/>
      <c r="AV584" s="138"/>
      <c r="AW584" s="138"/>
      <c r="AX584" s="138"/>
      <c r="AY584" s="138"/>
      <c r="BB584" s="138"/>
      <c r="BC584" s="138"/>
      <c r="BD584" s="138"/>
      <c r="BE584" s="138"/>
      <c r="BF584" s="138"/>
      <c r="BG584" s="138"/>
      <c r="BH584" s="138"/>
      <c r="BI584" s="138"/>
    </row>
    <row r="585" spans="1:61">
      <c r="A585" s="138"/>
      <c r="B585" s="449"/>
      <c r="C585" s="284" t="str">
        <f>IF(Tool!$H$7="Français",G585,IF(Tool!$H$7="Italiano",I585,E585))</f>
        <v>Anmerkungen:</v>
      </c>
      <c r="D585" s="300"/>
      <c r="E585" s="319" t="s">
        <v>114</v>
      </c>
      <c r="F585" s="300"/>
      <c r="G585" s="319" t="s">
        <v>372</v>
      </c>
      <c r="H585" s="300"/>
      <c r="I585" s="319" t="s">
        <v>1313</v>
      </c>
      <c r="J585" s="138"/>
      <c r="K585" s="138"/>
      <c r="L585" s="138"/>
      <c r="M585" s="138"/>
      <c r="N585" s="138"/>
      <c r="O585" s="138"/>
      <c r="P585" s="138"/>
      <c r="Q585" s="138"/>
      <c r="R585" s="138"/>
      <c r="S585" s="138"/>
      <c r="T585" s="138"/>
      <c r="U585" s="138"/>
      <c r="V585" s="138"/>
      <c r="W585" s="138"/>
      <c r="X585" s="138"/>
      <c r="Y585" s="138"/>
      <c r="Z585" s="138"/>
      <c r="AA585" s="138"/>
      <c r="AB585" s="138"/>
      <c r="AC585" s="138"/>
      <c r="AD585" s="138"/>
      <c r="AE585" s="138"/>
      <c r="AF585" s="138"/>
      <c r="AG585" s="138"/>
      <c r="AH585" s="138"/>
      <c r="AI585" s="138"/>
      <c r="AJ585" s="138"/>
      <c r="AK585" s="138"/>
      <c r="AL585" s="138"/>
      <c r="AM585" s="138"/>
      <c r="AN585" s="138"/>
      <c r="AO585" s="138"/>
      <c r="AP585" s="138"/>
      <c r="AQ585" s="138"/>
      <c r="AR585" s="138"/>
      <c r="AS585" s="138"/>
      <c r="AT585" s="138"/>
      <c r="AU585" s="138"/>
      <c r="AV585" s="138"/>
      <c r="AW585" s="138"/>
      <c r="AX585" s="138"/>
      <c r="AY585" s="138"/>
      <c r="BB585" s="138"/>
      <c r="BC585" s="138"/>
      <c r="BD585" s="138"/>
      <c r="BE585" s="138"/>
      <c r="BF585" s="138"/>
      <c r="BG585" s="138"/>
      <c r="BH585" s="138"/>
      <c r="BI585" s="138"/>
    </row>
    <row r="586" spans="1:61">
      <c r="A586" s="138"/>
      <c r="B586" s="449"/>
      <c r="C586" s="284" t="str">
        <f>IF(Tool!$H$7="Français",G586,IF(Tool!$H$7="Italiano",I586,E586))</f>
        <v>Eine Erklärung zum Bewertungsmechanismus im Pre-Check findet sich in der Einleitung. Sie können über das Popup-Menü im Fensterreiter dorthin gelangen.</v>
      </c>
      <c r="D586" s="337"/>
      <c r="E586" s="319" t="s">
        <v>340</v>
      </c>
      <c r="F586" s="337"/>
      <c r="G586" s="319" t="s">
        <v>390</v>
      </c>
      <c r="H586" s="337"/>
      <c r="I586" s="319" t="s">
        <v>1317</v>
      </c>
      <c r="J586" s="138"/>
      <c r="K586" s="138"/>
      <c r="L586" s="138"/>
      <c r="M586" s="138"/>
      <c r="N586" s="138"/>
      <c r="O586" s="138"/>
      <c r="P586" s="138"/>
      <c r="Q586" s="138"/>
      <c r="R586" s="138"/>
      <c r="S586" s="138"/>
      <c r="T586" s="138"/>
      <c r="U586" s="138"/>
      <c r="V586" s="138"/>
      <c r="W586" s="138"/>
      <c r="X586" s="138"/>
      <c r="Y586" s="138"/>
      <c r="Z586" s="138"/>
      <c r="AA586" s="138"/>
      <c r="AB586" s="138"/>
      <c r="AC586" s="138"/>
      <c r="AD586" s="138"/>
      <c r="AE586" s="138"/>
      <c r="AF586" s="138"/>
      <c r="AG586" s="138"/>
      <c r="AH586" s="138"/>
      <c r="AI586" s="138"/>
      <c r="AJ586" s="138"/>
      <c r="AK586" s="138"/>
      <c r="AL586" s="138"/>
      <c r="AM586" s="138"/>
      <c r="AN586" s="138"/>
      <c r="AO586" s="138"/>
      <c r="AP586" s="138"/>
      <c r="AQ586" s="138"/>
      <c r="AR586" s="138"/>
      <c r="AS586" s="138"/>
      <c r="AT586" s="138"/>
      <c r="AU586" s="138"/>
      <c r="AV586" s="138"/>
      <c r="AW586" s="138"/>
      <c r="AX586" s="138"/>
      <c r="AY586" s="138"/>
      <c r="BB586" s="138"/>
      <c r="BC586" s="138"/>
      <c r="BD586" s="138"/>
      <c r="BE586" s="138"/>
      <c r="BF586" s="138"/>
      <c r="BG586" s="138"/>
      <c r="BH586" s="138"/>
      <c r="BI586" s="138"/>
    </row>
    <row r="587" spans="1:61">
      <c r="A587" s="138"/>
      <c r="B587" s="449"/>
      <c r="C587" s="284" t="str">
        <f>IF(Tool!$H$7="Français",G587,IF(Tool!$H$7="Italiano",I587,E587))</f>
        <v xml:space="preserve">Weitere Details zur SNBS-Bewertung finden sich im offiziellen Kriterienkatalog: </v>
      </c>
      <c r="D587" s="337"/>
      <c r="E587" s="319" t="s">
        <v>341</v>
      </c>
      <c r="F587" s="337"/>
      <c r="G587" s="319" t="s">
        <v>385</v>
      </c>
      <c r="H587" s="337"/>
      <c r="I587" s="319" t="s">
        <v>1318</v>
      </c>
      <c r="J587" s="138"/>
      <c r="K587" s="138"/>
      <c r="L587" s="138"/>
      <c r="M587" s="138"/>
      <c r="N587" s="138"/>
      <c r="O587" s="138"/>
      <c r="P587" s="138"/>
      <c r="Q587" s="138"/>
      <c r="R587" s="138"/>
      <c r="S587" s="138"/>
      <c r="T587" s="138"/>
      <c r="U587" s="138"/>
      <c r="V587" s="138"/>
      <c r="W587" s="138"/>
      <c r="X587" s="138"/>
      <c r="Y587" s="138"/>
      <c r="Z587" s="138"/>
      <c r="AA587" s="138"/>
      <c r="AB587" s="138"/>
      <c r="AC587" s="138"/>
      <c r="AD587" s="138"/>
      <c r="AE587" s="138"/>
      <c r="AF587" s="138"/>
      <c r="AG587" s="138"/>
      <c r="AH587" s="138"/>
      <c r="AI587" s="138"/>
      <c r="AJ587" s="138"/>
      <c r="AK587" s="138"/>
      <c r="AL587" s="138"/>
      <c r="AM587" s="138"/>
      <c r="AN587" s="138"/>
      <c r="AO587" s="138"/>
      <c r="AP587" s="138"/>
      <c r="AQ587" s="138"/>
      <c r="AR587" s="138"/>
      <c r="AS587" s="138"/>
      <c r="AT587" s="138"/>
      <c r="AU587" s="138"/>
      <c r="AV587" s="138"/>
      <c r="AW587" s="138"/>
      <c r="AX587" s="138"/>
      <c r="AY587" s="138"/>
      <c r="BB587" s="138"/>
      <c r="BC587" s="138"/>
      <c r="BD587" s="138"/>
      <c r="BE587" s="138"/>
      <c r="BF587" s="138"/>
      <c r="BG587" s="138"/>
      <c r="BH587" s="138"/>
      <c r="BI587" s="138"/>
    </row>
    <row r="588" spans="1:61" ht="29">
      <c r="A588" s="138"/>
      <c r="B588" s="449"/>
      <c r="C588" s="284" t="str">
        <f>IF(Tool!$H$7="Français",G588,IF(Tool!$H$7="Italiano",I588,E588))</f>
        <v>Wir danken Ihnen für die Benutzung des Pre-Checks 2023.1 Hochbau und hoffen, Sie bei der Realisierung eines rundum nachhaltigen Projekts unterstützen zu können.
Um Rückmeldungen und Hinweise zur Verbesserung des Pre-Check (info@nnbs.ch) sind wir stets dankbar.</v>
      </c>
      <c r="D588" s="300"/>
      <c r="E588" s="296" t="s">
        <v>1485</v>
      </c>
      <c r="F588" s="300"/>
      <c r="G588" s="296" t="s">
        <v>1486</v>
      </c>
      <c r="H588" s="300"/>
      <c r="I588" s="296" t="s">
        <v>1487</v>
      </c>
      <c r="J588" s="138"/>
      <c r="K588" s="138"/>
      <c r="L588" s="138"/>
      <c r="M588" s="138"/>
      <c r="N588" s="138"/>
      <c r="O588" s="138"/>
      <c r="P588" s="138"/>
      <c r="Q588" s="138"/>
      <c r="R588" s="138"/>
      <c r="S588" s="138"/>
      <c r="T588" s="138"/>
      <c r="U588" s="138"/>
      <c r="V588" s="138"/>
      <c r="W588" s="138"/>
      <c r="X588" s="138"/>
      <c r="Y588" s="138"/>
      <c r="Z588" s="138"/>
      <c r="AA588" s="138"/>
      <c r="AB588" s="138"/>
      <c r="AC588" s="138"/>
      <c r="AD588" s="138"/>
      <c r="AE588" s="138"/>
      <c r="AF588" s="138"/>
      <c r="AG588" s="138"/>
      <c r="AH588" s="138"/>
      <c r="AI588" s="138"/>
      <c r="AJ588" s="138"/>
      <c r="AK588" s="138"/>
      <c r="AL588" s="138"/>
      <c r="AM588" s="138"/>
      <c r="AN588" s="138"/>
      <c r="AO588" s="138"/>
      <c r="AP588" s="138"/>
      <c r="AQ588" s="138"/>
      <c r="AR588" s="138"/>
      <c r="AS588" s="138"/>
      <c r="AT588" s="138"/>
      <c r="AU588" s="138"/>
      <c r="AV588" s="138"/>
      <c r="AW588" s="138"/>
      <c r="AX588" s="138"/>
      <c r="AY588" s="138"/>
      <c r="BB588" s="138"/>
      <c r="BC588" s="138"/>
      <c r="BD588" s="138"/>
      <c r="BE588" s="138"/>
      <c r="BF588" s="138"/>
      <c r="BG588" s="138"/>
      <c r="BH588" s="138"/>
      <c r="BI588" s="138"/>
    </row>
    <row r="589" spans="1:61" s="1247" customFormat="1" ht="43.5">
      <c r="A589" s="138"/>
      <c r="B589" s="1242"/>
      <c r="C589" s="284" t="str">
        <f>IF(Tool!$H$7="Français",G589,IF(Tool!$H$7="Italiano",I589,E589))</f>
        <v>Der Pre-Check liefert nur eine Abschätzung des Nachhaltigkeitsgrads eines Bauvorhabens und garantiert keine Zertifizierung des untersuchten Objekts. Im Einzelfall kann trotz gesamtheitlich gutem Pre-Check-Ergebnis eine Zertifizierung nicht möglich werden.
Es ist Benutzenden ausdrücklich untersagt, Ergebnisse aus dem Pre-Check für Werbezwecke (etwa in Verkaufsinformationen) zu verwenden.</v>
      </c>
      <c r="D589" s="1243"/>
      <c r="E589" s="296" t="s">
        <v>499</v>
      </c>
      <c r="F589" s="1243"/>
      <c r="G589" s="296" t="s">
        <v>1319</v>
      </c>
      <c r="H589" s="1243"/>
      <c r="I589" s="296" t="s">
        <v>1320</v>
      </c>
      <c r="J589" s="138"/>
      <c r="K589" s="138"/>
      <c r="L589" s="138"/>
      <c r="M589" s="138"/>
      <c r="N589" s="138"/>
      <c r="O589" s="138"/>
      <c r="P589" s="138"/>
      <c r="Q589" s="138"/>
      <c r="R589" s="138"/>
      <c r="S589" s="138"/>
      <c r="T589" s="138"/>
      <c r="U589" s="138"/>
      <c r="V589" s="138"/>
      <c r="W589" s="138"/>
      <c r="X589" s="138"/>
      <c r="Y589" s="138"/>
      <c r="Z589" s="138"/>
      <c r="AA589" s="138"/>
      <c r="AB589" s="138"/>
      <c r="AC589" s="138"/>
      <c r="AD589" s="138"/>
      <c r="AE589" s="1245"/>
      <c r="AF589" s="1245"/>
      <c r="AG589" s="1245"/>
      <c r="AH589" s="1245"/>
      <c r="AI589" s="1245"/>
      <c r="AJ589" s="1245"/>
      <c r="AK589" s="1245"/>
      <c r="AL589" s="1245"/>
      <c r="AM589" s="1245"/>
      <c r="AN589" s="1245"/>
      <c r="AO589" s="1245"/>
      <c r="AP589" s="1245"/>
      <c r="AQ589" s="1245"/>
      <c r="AR589" s="1245"/>
      <c r="AS589" s="1245"/>
      <c r="AT589" s="1245"/>
      <c r="AU589" s="1245"/>
      <c r="AV589" s="1245"/>
      <c r="AW589" s="1245"/>
      <c r="AX589" s="1245"/>
      <c r="AY589" s="1245"/>
      <c r="BB589" s="1245"/>
      <c r="BC589" s="1245"/>
      <c r="BD589" s="1245"/>
      <c r="BE589" s="1245"/>
      <c r="BF589" s="1245"/>
      <c r="BG589" s="1245"/>
      <c r="BH589" s="1245"/>
      <c r="BI589" s="1245"/>
    </row>
    <row r="590" spans="1:61">
      <c r="A590" s="1245"/>
      <c r="B590" s="1258"/>
      <c r="C590" s="284" t="str">
        <f>IF(Tool!$H$7="Français",G590,IF(Tool!$H$7="Italiano",I590,E590))</f>
        <v>Gesamtnote</v>
      </c>
      <c r="D590" s="1258"/>
      <c r="E590" s="296" t="s">
        <v>1479</v>
      </c>
      <c r="F590" s="1258"/>
      <c r="G590" s="296" t="s">
        <v>1480</v>
      </c>
      <c r="H590" s="1258"/>
      <c r="I590" s="296" t="s">
        <v>1481</v>
      </c>
      <c r="J590" s="1245"/>
      <c r="K590" s="1245"/>
      <c r="L590" s="1245"/>
      <c r="M590" s="1245"/>
      <c r="N590" s="1245"/>
      <c r="O590" s="1245"/>
      <c r="P590" s="1245"/>
      <c r="Q590" s="1245"/>
      <c r="R590" s="1245"/>
      <c r="S590" s="1245"/>
      <c r="T590" s="1245"/>
      <c r="U590" s="1245"/>
      <c r="V590" s="1245"/>
      <c r="W590" s="1245"/>
      <c r="X590" s="1245"/>
      <c r="Y590" s="1245"/>
      <c r="Z590" s="1245"/>
      <c r="AA590" s="1245"/>
      <c r="AB590" s="1245"/>
      <c r="AC590" s="1245"/>
      <c r="AD590" s="1245"/>
      <c r="AE590" s="138"/>
      <c r="AF590" s="138"/>
      <c r="AG590" s="138"/>
      <c r="AH590" s="138"/>
      <c r="AI590" s="138"/>
      <c r="AJ590" s="138"/>
      <c r="AK590" s="138"/>
      <c r="AL590" s="138"/>
      <c r="AM590" s="138"/>
      <c r="AN590" s="138"/>
      <c r="AO590" s="138"/>
      <c r="AP590" s="138"/>
      <c r="AQ590" s="138"/>
      <c r="AR590" s="138"/>
      <c r="AS590" s="138"/>
      <c r="AT590" s="138"/>
      <c r="AU590" s="138"/>
      <c r="AV590" s="138"/>
      <c r="AW590" s="138"/>
      <c r="AX590" s="138"/>
      <c r="AY590" s="138"/>
      <c r="BB590" s="138"/>
      <c r="BC590" s="138"/>
      <c r="BD590" s="138"/>
      <c r="BE590" s="138"/>
      <c r="BF590" s="138"/>
      <c r="BG590" s="138"/>
      <c r="BH590" s="138"/>
      <c r="BI590" s="138"/>
    </row>
    <row r="591" spans="1:61" s="1247" customFormat="1">
      <c r="A591" s="138"/>
      <c r="B591" s="1242"/>
      <c r="C591" s="284" t="str">
        <f>IF(Tool!$H$7="Français",G591,IF(Tool!$H$7="Italiano",I591,E591))</f>
        <v>Klimaschutz</v>
      </c>
      <c r="D591" s="1243"/>
      <c r="E591" s="296" t="s">
        <v>1488</v>
      </c>
      <c r="F591" s="1243"/>
      <c r="G591" s="296" t="s">
        <v>1490</v>
      </c>
      <c r="H591" s="1243"/>
      <c r="I591" s="296" t="s">
        <v>1492</v>
      </c>
      <c r="J591" s="138"/>
      <c r="K591" s="138"/>
      <c r="L591" s="138"/>
      <c r="M591" s="138"/>
      <c r="N591" s="138"/>
      <c r="O591" s="138"/>
      <c r="P591" s="138"/>
      <c r="Q591" s="138"/>
      <c r="R591" s="138"/>
      <c r="S591" s="138"/>
      <c r="T591" s="138"/>
      <c r="U591" s="138"/>
      <c r="V591" s="138"/>
      <c r="W591" s="138"/>
      <c r="X591" s="138"/>
      <c r="Y591" s="138"/>
      <c r="Z591" s="138"/>
      <c r="AA591" s="138"/>
      <c r="AB591" s="138"/>
      <c r="AC591" s="138"/>
      <c r="AD591" s="138"/>
      <c r="AE591" s="1245"/>
      <c r="AF591" s="1245"/>
      <c r="AG591" s="1245"/>
      <c r="AH591" s="1245"/>
      <c r="AI591" s="1245"/>
      <c r="AJ591" s="1245"/>
      <c r="AK591" s="1245"/>
      <c r="AL591" s="1245"/>
      <c r="AM591" s="1245"/>
      <c r="AN591" s="1245"/>
      <c r="AO591" s="1245"/>
      <c r="AP591" s="1245"/>
      <c r="AQ591" s="1245"/>
      <c r="AR591" s="1245"/>
      <c r="AS591" s="1245"/>
      <c r="AT591" s="1245"/>
      <c r="AU591" s="1245"/>
      <c r="AV591" s="1245"/>
      <c r="AW591" s="1245"/>
      <c r="AX591" s="1245"/>
      <c r="AY591" s="1245"/>
      <c r="BB591" s="1245"/>
      <c r="BC591" s="1245"/>
      <c r="BD591" s="1245"/>
      <c r="BE591" s="1245"/>
      <c r="BF591" s="1245"/>
      <c r="BG591" s="1245"/>
      <c r="BH591" s="1245"/>
      <c r="BI591" s="1245"/>
    </row>
    <row r="592" spans="1:61">
      <c r="A592" s="1245"/>
      <c r="B592" s="1246"/>
      <c r="C592" s="876" t="str">
        <f>IF(Tool!$H$7="Français",G592,IF(Tool!$H$7="Italiano",I592,E592))</f>
        <v>Klimaanpassung</v>
      </c>
      <c r="D592" s="1246"/>
      <c r="E592" s="346" t="s">
        <v>1489</v>
      </c>
      <c r="F592" s="1246"/>
      <c r="G592" s="346" t="s">
        <v>1491</v>
      </c>
      <c r="H592" s="1246"/>
      <c r="I592" s="346" t="s">
        <v>1493</v>
      </c>
      <c r="J592" s="1245"/>
      <c r="K592" s="1245"/>
      <c r="L592" s="1245"/>
      <c r="M592" s="1245"/>
      <c r="N592" s="1245"/>
      <c r="O592" s="1245"/>
      <c r="P592" s="1245"/>
      <c r="Q592" s="1245"/>
      <c r="R592" s="1245"/>
      <c r="S592" s="1245"/>
      <c r="T592" s="1245"/>
      <c r="U592" s="1245"/>
      <c r="V592" s="1245"/>
      <c r="W592" s="1245"/>
      <c r="X592" s="1245"/>
      <c r="Y592" s="1245"/>
      <c r="Z592" s="1245"/>
      <c r="AA592" s="1245"/>
      <c r="AB592" s="1245"/>
      <c r="AC592" s="1245"/>
      <c r="AD592" s="1245"/>
      <c r="AE592" s="138"/>
      <c r="AF592" s="138"/>
      <c r="AG592" s="138"/>
      <c r="AH592" s="138"/>
      <c r="AI592" s="138"/>
      <c r="AJ592" s="138"/>
      <c r="AK592" s="138"/>
      <c r="AL592" s="138"/>
      <c r="AM592" s="138"/>
      <c r="AN592" s="138"/>
      <c r="AO592" s="138"/>
      <c r="AP592" s="138"/>
      <c r="AQ592" s="138"/>
      <c r="AR592" s="138"/>
      <c r="AS592" s="138"/>
      <c r="AT592" s="138"/>
      <c r="AU592" s="138"/>
      <c r="AV592" s="138"/>
      <c r="AW592" s="138"/>
      <c r="AX592" s="138"/>
      <c r="AY592" s="138"/>
      <c r="BB592" s="138"/>
      <c r="BC592" s="138"/>
      <c r="BD592" s="138"/>
      <c r="BE592" s="138"/>
      <c r="BF592" s="138"/>
      <c r="BG592" s="138"/>
      <c r="BH592" s="138"/>
      <c r="BI592" s="138"/>
    </row>
    <row r="593" spans="1:61">
      <c r="A593" s="138"/>
      <c r="B593" s="1612"/>
      <c r="C593" s="290"/>
      <c r="D593" s="142"/>
      <c r="E593" s="290"/>
      <c r="F593" s="142"/>
      <c r="G593" s="290"/>
      <c r="H593" s="142"/>
      <c r="I593" s="1626"/>
      <c r="J593" s="138"/>
      <c r="K593" s="138"/>
      <c r="L593" s="138"/>
      <c r="M593" s="138"/>
      <c r="N593" s="138"/>
      <c r="O593" s="138"/>
      <c r="P593" s="138"/>
      <c r="Q593" s="138"/>
      <c r="R593" s="138"/>
      <c r="S593" s="138"/>
      <c r="T593" s="138"/>
      <c r="U593" s="138"/>
      <c r="V593" s="138"/>
      <c r="W593" s="138"/>
      <c r="X593" s="138"/>
      <c r="Y593" s="138"/>
      <c r="Z593" s="138"/>
      <c r="AA593" s="138"/>
      <c r="AB593" s="138"/>
      <c r="AC593" s="138"/>
      <c r="AD593" s="138"/>
      <c r="AE593" s="138"/>
      <c r="AF593" s="138"/>
      <c r="AG593" s="138"/>
      <c r="AH593" s="138"/>
      <c r="AI593" s="138"/>
      <c r="AJ593" s="138"/>
      <c r="AK593" s="138"/>
      <c r="AL593" s="138"/>
      <c r="AM593" s="138"/>
      <c r="AN593" s="138"/>
      <c r="AO593" s="138"/>
      <c r="AP593" s="138"/>
      <c r="AQ593" s="138"/>
      <c r="AR593" s="138"/>
      <c r="AS593" s="138"/>
      <c r="AT593" s="138"/>
      <c r="AU593" s="138"/>
      <c r="AV593" s="138"/>
      <c r="AW593" s="138"/>
      <c r="AX593" s="138"/>
      <c r="AY593" s="138"/>
      <c r="BB593" s="138"/>
      <c r="BC593" s="138"/>
      <c r="BD593" s="138"/>
      <c r="BE593" s="138"/>
      <c r="BF593" s="138"/>
      <c r="BG593" s="138"/>
      <c r="BH593" s="138"/>
      <c r="BI593" s="138"/>
    </row>
    <row r="594" spans="1:61">
      <c r="A594" s="138"/>
      <c r="B594" s="448">
        <v>9</v>
      </c>
      <c r="C594" s="869" t="str">
        <f>IF(Tool!$H$7="Français",G594,IF(Tool!$H$7="Italiano",I594,E594))</f>
        <v>Bewertung der Bereiche, Themen und Kriterien</v>
      </c>
      <c r="D594" s="306"/>
      <c r="E594" s="869" t="s">
        <v>1321</v>
      </c>
      <c r="F594" s="306">
        <v>9</v>
      </c>
      <c r="G594" s="869" t="s">
        <v>1345</v>
      </c>
      <c r="H594" s="306"/>
      <c r="I594" s="869" t="s">
        <v>1328</v>
      </c>
      <c r="J594" s="138"/>
      <c r="K594" s="138"/>
      <c r="L594" s="138"/>
      <c r="M594" s="138"/>
      <c r="N594" s="138"/>
      <c r="O594" s="138"/>
      <c r="P594" s="138"/>
      <c r="Q594" s="138"/>
      <c r="R594" s="138"/>
      <c r="S594" s="138"/>
      <c r="T594" s="138"/>
      <c r="U594" s="138"/>
      <c r="V594" s="138"/>
      <c r="W594" s="138"/>
      <c r="X594" s="138"/>
      <c r="Y594" s="138"/>
      <c r="Z594" s="138"/>
      <c r="AA594" s="138"/>
      <c r="AB594" s="138"/>
      <c r="AC594" s="138"/>
      <c r="AD594" s="138"/>
      <c r="AE594" s="138"/>
      <c r="AF594" s="138"/>
      <c r="AG594" s="138"/>
      <c r="AH594" s="138"/>
      <c r="AI594" s="138"/>
      <c r="AJ594" s="138"/>
      <c r="AK594" s="138"/>
      <c r="AL594" s="138"/>
      <c r="AM594" s="138"/>
      <c r="AN594" s="138"/>
      <c r="AO594" s="138"/>
      <c r="AP594" s="138"/>
      <c r="AQ594" s="138"/>
      <c r="AR594" s="138"/>
      <c r="AS594" s="138"/>
      <c r="AT594" s="138"/>
      <c r="AU594" s="138"/>
      <c r="AV594" s="138"/>
      <c r="AW594" s="138"/>
      <c r="AX594" s="138"/>
      <c r="AY594" s="138"/>
      <c r="BB594" s="138"/>
      <c r="BC594" s="138"/>
      <c r="BD594" s="138"/>
      <c r="BE594" s="138"/>
      <c r="BF594" s="138"/>
      <c r="BG594" s="138"/>
      <c r="BH594" s="138"/>
      <c r="BI594" s="138"/>
    </row>
    <row r="595" spans="1:61">
      <c r="A595" s="138"/>
      <c r="B595" s="300"/>
      <c r="C595" s="284" t="str">
        <f>IF(Tool!$H$7="Français",G595,IF(Tool!$H$7="Italiano",I595,E595))</f>
        <v>Das folgende Diagramm besteht aus zwei Teilen.</v>
      </c>
      <c r="D595" s="300"/>
      <c r="E595" s="284" t="s">
        <v>1322</v>
      </c>
      <c r="F595" s="300"/>
      <c r="G595" s="284" t="s">
        <v>1346</v>
      </c>
      <c r="H595" s="300"/>
      <c r="I595" s="284" t="s">
        <v>1329</v>
      </c>
      <c r="J595" s="138"/>
      <c r="K595" s="138"/>
      <c r="L595" s="138"/>
      <c r="M595" s="138"/>
      <c r="N595" s="138"/>
      <c r="O595" s="138"/>
      <c r="P595" s="138"/>
      <c r="Q595" s="138"/>
      <c r="R595" s="138"/>
      <c r="S595" s="138"/>
      <c r="T595" s="138"/>
      <c r="U595" s="138"/>
      <c r="V595" s="138"/>
      <c r="W595" s="138"/>
      <c r="X595" s="138"/>
      <c r="Y595" s="138"/>
      <c r="Z595" s="138"/>
      <c r="AA595" s="138"/>
      <c r="AB595" s="138"/>
      <c r="AC595" s="138"/>
      <c r="AD595" s="138"/>
      <c r="AE595" s="138"/>
      <c r="AF595" s="138"/>
      <c r="AG595" s="138"/>
      <c r="AH595" s="138"/>
      <c r="AI595" s="138"/>
      <c r="AJ595" s="138"/>
      <c r="AK595" s="138"/>
      <c r="AL595" s="138"/>
      <c r="AM595" s="138"/>
      <c r="AN595" s="138"/>
      <c r="AO595" s="138"/>
      <c r="AP595" s="138"/>
      <c r="AQ595" s="138"/>
      <c r="AR595" s="138"/>
      <c r="AS595" s="138"/>
      <c r="AT595" s="138"/>
      <c r="AU595" s="138"/>
      <c r="AV595" s="138"/>
      <c r="AW595" s="138"/>
      <c r="AX595" s="138"/>
      <c r="AY595" s="138"/>
      <c r="BB595" s="138"/>
      <c r="BC595" s="138"/>
      <c r="BD595" s="138"/>
      <c r="BE595" s="138"/>
      <c r="BF595" s="138"/>
      <c r="BG595" s="138"/>
      <c r="BH595" s="138"/>
      <c r="BI595" s="138"/>
    </row>
    <row r="596" spans="1:61" ht="14.5" customHeight="1">
      <c r="A596" s="138"/>
      <c r="B596" s="300"/>
      <c r="C596" s="284" t="str">
        <f>IF(Tool!$H$7="Français",G596,IF(Tool!$H$7="Italiano",I596,E596))</f>
        <v>Auf der linken Seite sind die Bewertungen der drei Bereiche und den jeweiligen Themen in Form von horizontalen Balken ersichtlich.</v>
      </c>
      <c r="D596" s="300"/>
      <c r="E596" s="284" t="s">
        <v>1323</v>
      </c>
      <c r="F596" s="300"/>
      <c r="G596" s="284" t="s">
        <v>1347</v>
      </c>
      <c r="H596" s="300"/>
      <c r="I596" s="284" t="s">
        <v>1330</v>
      </c>
      <c r="J596" s="138"/>
      <c r="K596" s="138"/>
      <c r="L596" s="138"/>
      <c r="M596" s="138"/>
      <c r="N596" s="138"/>
      <c r="O596" s="138"/>
      <c r="P596" s="138"/>
      <c r="Q596" s="138"/>
      <c r="R596" s="138"/>
      <c r="S596" s="138"/>
      <c r="T596" s="138"/>
      <c r="U596" s="138"/>
      <c r="V596" s="138"/>
      <c r="W596" s="138"/>
      <c r="X596" s="138"/>
      <c r="Y596" s="138"/>
      <c r="Z596" s="138"/>
      <c r="AA596" s="138"/>
      <c r="AB596" s="138"/>
      <c r="AC596" s="138"/>
      <c r="AD596" s="138"/>
      <c r="AE596" s="138"/>
      <c r="AF596" s="138"/>
      <c r="AG596" s="138"/>
      <c r="AH596" s="138"/>
      <c r="AI596" s="138"/>
      <c r="AJ596" s="138"/>
      <c r="AK596" s="138"/>
      <c r="AL596" s="138"/>
      <c r="AM596" s="138"/>
      <c r="AN596" s="138"/>
      <c r="AO596" s="138"/>
      <c r="AP596" s="138"/>
      <c r="AQ596" s="138"/>
      <c r="AR596" s="138"/>
      <c r="AS596" s="138"/>
      <c r="AT596" s="138"/>
      <c r="AU596" s="138"/>
      <c r="AV596" s="138"/>
      <c r="AW596" s="138"/>
      <c r="AX596" s="138"/>
      <c r="AY596" s="138"/>
      <c r="BB596" s="138"/>
      <c r="BC596" s="138"/>
      <c r="BD596" s="138"/>
      <c r="BE596" s="138"/>
      <c r="BF596" s="138"/>
      <c r="BG596" s="138"/>
      <c r="BH596" s="138"/>
      <c r="BI596" s="138"/>
    </row>
    <row r="597" spans="1:61" ht="29">
      <c r="A597" s="138"/>
      <c r="B597" s="300"/>
      <c r="C597" s="284" t="str">
        <f>IF(Tool!$H$7="Français",G597,IF(Tool!$H$7="Italiano",I597,E597))</f>
        <v>Auf der rechten Seite sind ''Stolpersteine'' rot, umrahmt und in Fettschrift dargestellt,  ''ungenügende'' Kriterien rot, ''genügende'' Kriterien grün und ''gute'' Kriterien grün und durchgestrichen.</v>
      </c>
      <c r="D597" s="300"/>
      <c r="E597" s="284" t="s">
        <v>1327</v>
      </c>
      <c r="F597" s="300"/>
      <c r="G597" s="284" t="s">
        <v>1919</v>
      </c>
      <c r="H597" s="300"/>
      <c r="I597" s="284" t="s">
        <v>1333</v>
      </c>
      <c r="J597" s="138"/>
      <c r="K597" s="138"/>
      <c r="L597" s="138"/>
      <c r="M597" s="138"/>
      <c r="N597" s="138"/>
      <c r="O597" s="138"/>
      <c r="P597" s="138"/>
      <c r="Q597" s="138"/>
      <c r="R597" s="138"/>
      <c r="S597" s="138"/>
      <c r="T597" s="138"/>
      <c r="U597" s="138"/>
      <c r="V597" s="138"/>
      <c r="W597" s="138"/>
      <c r="X597" s="138"/>
      <c r="Y597" s="138"/>
      <c r="Z597" s="138"/>
      <c r="AA597" s="138"/>
      <c r="AB597" s="138"/>
      <c r="AC597" s="138"/>
      <c r="AD597" s="138"/>
      <c r="AE597" s="138"/>
      <c r="AF597" s="138"/>
      <c r="AG597" s="138"/>
      <c r="AH597" s="138"/>
      <c r="AI597" s="138"/>
      <c r="AJ597" s="138"/>
      <c r="AK597" s="138"/>
      <c r="AL597" s="138"/>
      <c r="AM597" s="138"/>
      <c r="AN597" s="138"/>
      <c r="AO597" s="138"/>
      <c r="AP597" s="138"/>
      <c r="AQ597" s="138"/>
      <c r="AR597" s="138"/>
      <c r="AS597" s="138"/>
      <c r="AT597" s="138"/>
      <c r="AU597" s="138"/>
      <c r="AV597" s="138"/>
      <c r="AW597" s="138"/>
      <c r="AX597" s="138"/>
      <c r="AY597" s="138"/>
      <c r="BB597" s="138"/>
      <c r="BC597" s="138"/>
      <c r="BD597" s="138"/>
      <c r="BE597" s="138"/>
      <c r="BF597" s="138"/>
      <c r="BG597" s="138"/>
      <c r="BH597" s="138"/>
      <c r="BI597" s="138"/>
    </row>
    <row r="598" spans="1:61">
      <c r="A598" s="138"/>
      <c r="B598" s="300"/>
      <c r="C598" s="284" t="str">
        <f>IF(Tool!$H$7="Français",G598,IF(Tool!$H$7="Italiano",I598,E598))</f>
        <v>Im Bereich ''Gesellschaft'' wird ein Erfüllungsgrad von 0 % erzielt.</v>
      </c>
      <c r="D598" s="300"/>
      <c r="E598" s="284" t="s">
        <v>1324</v>
      </c>
      <c r="F598" s="300"/>
      <c r="G598" s="284" t="s">
        <v>1920</v>
      </c>
      <c r="H598" s="300"/>
      <c r="I598" s="284" t="s">
        <v>1331</v>
      </c>
      <c r="J598" s="138"/>
      <c r="K598" s="138"/>
      <c r="L598" s="138"/>
      <c r="M598" s="138"/>
      <c r="N598" s="138"/>
      <c r="O598" s="138"/>
      <c r="P598" s="138"/>
      <c r="Q598" s="138"/>
      <c r="R598" s="138"/>
      <c r="S598" s="138"/>
      <c r="T598" s="138"/>
      <c r="U598" s="138"/>
      <c r="V598" s="138"/>
      <c r="W598" s="138"/>
      <c r="X598" s="138"/>
      <c r="Y598" s="138"/>
      <c r="Z598" s="138"/>
      <c r="AA598" s="138"/>
      <c r="AB598" s="138"/>
      <c r="AC598" s="138"/>
      <c r="AD598" s="138"/>
      <c r="AE598" s="138"/>
      <c r="AF598" s="138"/>
      <c r="AG598" s="138"/>
      <c r="AH598" s="138"/>
      <c r="AI598" s="138"/>
      <c r="AJ598" s="138"/>
      <c r="AK598" s="138"/>
      <c r="AL598" s="138"/>
      <c r="AM598" s="138"/>
      <c r="AN598" s="138"/>
      <c r="AO598" s="138"/>
      <c r="AP598" s="138"/>
      <c r="AQ598" s="138"/>
      <c r="AR598" s="138"/>
      <c r="AS598" s="138"/>
      <c r="AT598" s="138"/>
      <c r="AU598" s="138"/>
      <c r="AV598" s="138"/>
      <c r="AW598" s="138"/>
      <c r="AX598" s="138"/>
      <c r="AY598" s="138"/>
      <c r="BB598" s="138"/>
      <c r="BC598" s="138"/>
      <c r="BD598" s="138"/>
      <c r="BE598" s="138"/>
      <c r="BF598" s="138"/>
      <c r="BG598" s="138"/>
      <c r="BH598" s="138"/>
      <c r="BI598" s="138"/>
    </row>
    <row r="599" spans="1:61">
      <c r="A599" s="138"/>
      <c r="B599" s="300"/>
      <c r="C599" s="284" t="str">
        <f>IF(Tool!$H$7="Français",G599,IF(Tool!$H$7="Italiano",I599,E599))</f>
        <v>Im Bereich ''Wirtschaft'' wird ein Erfüllungsgrad von 0% erzielt.</v>
      </c>
      <c r="D599" s="300"/>
      <c r="E599" s="284" t="s">
        <v>1325</v>
      </c>
      <c r="F599" s="300"/>
      <c r="G599" s="284" t="s">
        <v>1921</v>
      </c>
      <c r="H599" s="300"/>
      <c r="I599" s="284" t="s">
        <v>1332</v>
      </c>
      <c r="J599" s="138"/>
      <c r="K599" s="138"/>
      <c r="L599" s="138"/>
      <c r="M599" s="138"/>
      <c r="N599" s="138"/>
      <c r="O599" s="138"/>
      <c r="P599" s="138"/>
      <c r="Q599" s="138"/>
      <c r="R599" s="138"/>
      <c r="S599" s="138"/>
      <c r="T599" s="138"/>
      <c r="U599" s="138"/>
      <c r="V599" s="138"/>
      <c r="W599" s="138"/>
      <c r="X599" s="138"/>
      <c r="Y599" s="138"/>
      <c r="Z599" s="138"/>
      <c r="AA599" s="138"/>
      <c r="AB599" s="138"/>
      <c r="AC599" s="138"/>
      <c r="AD599" s="138"/>
      <c r="AE599" s="138"/>
      <c r="AF599" s="138"/>
      <c r="AG599" s="138"/>
      <c r="AH599" s="138"/>
      <c r="AI599" s="138"/>
      <c r="AJ599" s="138"/>
      <c r="AK599" s="138"/>
      <c r="AL599" s="138"/>
      <c r="AM599" s="138"/>
      <c r="AN599" s="138"/>
      <c r="AO599" s="138"/>
      <c r="AP599" s="138"/>
      <c r="AQ599" s="138"/>
      <c r="AR599" s="138"/>
      <c r="AS599" s="138"/>
      <c r="AT599" s="138"/>
      <c r="AU599" s="138"/>
      <c r="AV599" s="138"/>
      <c r="AW599" s="138"/>
      <c r="AX599" s="138"/>
      <c r="AY599" s="138"/>
      <c r="BB599" s="138"/>
      <c r="BC599" s="138"/>
      <c r="BD599" s="138"/>
      <c r="BE599" s="138"/>
      <c r="BF599" s="138"/>
      <c r="BG599" s="138"/>
      <c r="BH599" s="138"/>
      <c r="BI599" s="138"/>
    </row>
    <row r="600" spans="1:61">
      <c r="A600" s="138"/>
      <c r="B600" s="300"/>
      <c r="C600" s="284" t="str">
        <f>IF(Tool!$H$7="Français",G600,IF(Tool!$H$7="Italiano",I600,E600))</f>
        <v>Im Bereich ''Umwelt'' wird ein Erfüllungsgrad von 0% erzielt.</v>
      </c>
      <c r="D600" s="300"/>
      <c r="E600" s="284" t="s">
        <v>1326</v>
      </c>
      <c r="F600" s="300"/>
      <c r="G600" s="284" t="s">
        <v>1922</v>
      </c>
      <c r="H600" s="300"/>
      <c r="I600" s="284" t="s">
        <v>1308</v>
      </c>
      <c r="J600" s="138"/>
      <c r="K600" s="138"/>
      <c r="L600" s="138"/>
      <c r="M600" s="138"/>
      <c r="N600" s="138"/>
      <c r="O600" s="138"/>
      <c r="P600" s="138"/>
      <c r="Q600" s="138"/>
      <c r="R600" s="138"/>
      <c r="S600" s="138"/>
      <c r="T600" s="138"/>
      <c r="U600" s="138"/>
      <c r="V600" s="138"/>
      <c r="W600" s="138"/>
      <c r="X600" s="138"/>
      <c r="Y600" s="138"/>
      <c r="Z600" s="138"/>
      <c r="AA600" s="138"/>
      <c r="AB600" s="138"/>
      <c r="AC600" s="138"/>
      <c r="AD600" s="138"/>
      <c r="AE600" s="138"/>
      <c r="AF600" s="138"/>
      <c r="AG600" s="138"/>
      <c r="AH600" s="138"/>
      <c r="AI600" s="138"/>
      <c r="AJ600" s="138"/>
      <c r="AK600" s="138"/>
      <c r="AL600" s="138"/>
      <c r="AM600" s="138"/>
      <c r="AN600" s="138"/>
      <c r="AO600" s="138"/>
      <c r="AP600" s="138"/>
      <c r="AQ600" s="138"/>
      <c r="AR600" s="138"/>
      <c r="AS600" s="138"/>
      <c r="AT600" s="138"/>
      <c r="AU600" s="138"/>
      <c r="AV600" s="138"/>
      <c r="AW600" s="138"/>
      <c r="AX600" s="138"/>
      <c r="AY600" s="138"/>
      <c r="BB600" s="138"/>
      <c r="BC600" s="138"/>
      <c r="BD600" s="138"/>
      <c r="BE600" s="138"/>
      <c r="BF600" s="138"/>
      <c r="BG600" s="138"/>
      <c r="BH600" s="138"/>
      <c r="BI600" s="138"/>
    </row>
    <row r="601" spans="1:61" ht="15" customHeight="1">
      <c r="A601" s="138"/>
      <c r="B601" s="301"/>
      <c r="C601" s="284">
        <f>IF(Tool!$H$7="Français",G601,IF(Tool!$H$7="Italiano",I601,E601))</f>
        <v>0</v>
      </c>
      <c r="D601" s="301"/>
      <c r="E601" s="284"/>
      <c r="F601" s="301"/>
      <c r="G601" s="284"/>
      <c r="H601" s="301"/>
      <c r="I601" s="284"/>
      <c r="J601" s="138"/>
      <c r="K601" s="138"/>
      <c r="L601" s="138"/>
      <c r="M601" s="138"/>
      <c r="N601" s="138"/>
      <c r="O601" s="138"/>
      <c r="P601" s="138"/>
      <c r="Q601" s="138"/>
      <c r="R601" s="138"/>
      <c r="S601" s="138"/>
      <c r="T601" s="138"/>
      <c r="U601" s="138"/>
      <c r="V601" s="138"/>
      <c r="W601" s="138"/>
      <c r="X601" s="138"/>
      <c r="Y601" s="138"/>
      <c r="Z601" s="138"/>
      <c r="AA601" s="138"/>
      <c r="AB601" s="138"/>
      <c r="AC601" s="138"/>
      <c r="AD601" s="138"/>
      <c r="AE601" s="138"/>
      <c r="AF601" s="138"/>
      <c r="AG601" s="138"/>
      <c r="AH601" s="138"/>
      <c r="AI601" s="138"/>
      <c r="AJ601" s="138"/>
      <c r="AK601" s="138"/>
      <c r="AL601" s="138"/>
      <c r="AM601" s="138"/>
      <c r="AN601" s="138"/>
      <c r="AO601" s="138"/>
      <c r="AP601" s="138"/>
      <c r="AQ601" s="138"/>
      <c r="AR601" s="138"/>
      <c r="AS601" s="138"/>
      <c r="AT601" s="138"/>
      <c r="AU601" s="138"/>
      <c r="AV601" s="138"/>
      <c r="AW601" s="138"/>
      <c r="AX601" s="138"/>
      <c r="AY601" s="138"/>
      <c r="BB601" s="138"/>
      <c r="BC601" s="138"/>
      <c r="BD601" s="138"/>
      <c r="BE601" s="138"/>
      <c r="BF601" s="138"/>
      <c r="BG601" s="138"/>
      <c r="BH601" s="138"/>
      <c r="BI601" s="138"/>
    </row>
    <row r="602" spans="1:61" ht="15" customHeight="1">
      <c r="A602" s="138"/>
      <c r="B602" s="300">
        <v>9</v>
      </c>
      <c r="C602" s="869" t="str">
        <f>IF(Tool!$H$7="Français",G602,IF(Tool!$H$7="Italiano",I602,E602))</f>
        <v>Überblick und Identifizierung von Stolpersteinen</v>
      </c>
      <c r="D602" s="300">
        <v>9</v>
      </c>
      <c r="E602" s="869" t="s">
        <v>1338</v>
      </c>
      <c r="F602" s="300">
        <v>9</v>
      </c>
      <c r="G602" s="869" t="s">
        <v>1923</v>
      </c>
      <c r="H602" s="300"/>
      <c r="I602" s="869" t="s">
        <v>1339</v>
      </c>
      <c r="J602" s="315"/>
      <c r="K602" s="138"/>
      <c r="L602" s="138"/>
      <c r="M602" s="138"/>
      <c r="N602" s="138"/>
      <c r="O602" s="138"/>
      <c r="P602" s="138"/>
      <c r="Q602" s="138"/>
      <c r="R602" s="138"/>
      <c r="S602" s="138"/>
      <c r="T602" s="138"/>
      <c r="U602" s="138"/>
      <c r="V602" s="138"/>
      <c r="W602" s="138"/>
      <c r="X602" s="138"/>
      <c r="Y602" s="138"/>
      <c r="Z602" s="138"/>
      <c r="AA602" s="138"/>
      <c r="AB602" s="138"/>
      <c r="AC602" s="138"/>
      <c r="AD602" s="138"/>
      <c r="AE602" s="138"/>
      <c r="AF602" s="311"/>
      <c r="AG602" s="311"/>
      <c r="AH602" s="311"/>
      <c r="AI602" s="311"/>
      <c r="AJ602" s="311"/>
      <c r="AK602" s="311"/>
      <c r="AL602" s="311"/>
      <c r="AM602" s="311"/>
      <c r="AN602" s="311"/>
      <c r="AO602" s="311"/>
      <c r="AP602" s="311"/>
      <c r="AQ602" s="311"/>
      <c r="AR602" s="311"/>
      <c r="AS602" s="311"/>
      <c r="AT602" s="311"/>
      <c r="AU602" s="311"/>
      <c r="AV602" s="138"/>
      <c r="AW602" s="138"/>
      <c r="AX602" s="138"/>
      <c r="AY602" s="138"/>
      <c r="BB602" s="138"/>
      <c r="BC602" s="138"/>
      <c r="BD602" s="138"/>
      <c r="BE602" s="138"/>
      <c r="BF602" s="138"/>
      <c r="BG602" s="138"/>
      <c r="BH602" s="138"/>
      <c r="BI602" s="138"/>
    </row>
    <row r="603" spans="1:61" ht="15" customHeight="1">
      <c r="A603" s="138"/>
      <c r="B603" s="300"/>
      <c r="C603" s="284" t="str">
        <f>IF(Tool!$H$7="Français",G603,IF(Tool!$H$7="Italiano",I603,E603))</f>
        <v>Auf der linken Seite zeigt das Diagramm Stärken und Schwächen des Projekts visuell auf.</v>
      </c>
      <c r="D603" s="300"/>
      <c r="E603" s="284" t="s">
        <v>1334</v>
      </c>
      <c r="F603" s="300"/>
      <c r="G603" s="284" t="s">
        <v>1924</v>
      </c>
      <c r="H603" s="300"/>
      <c r="I603" s="284" t="s">
        <v>1340</v>
      </c>
      <c r="J603" s="316"/>
      <c r="K603" s="138"/>
      <c r="L603" s="138"/>
      <c r="M603" s="138"/>
      <c r="N603" s="138"/>
      <c r="O603" s="138"/>
      <c r="P603" s="138"/>
      <c r="Q603" s="138"/>
      <c r="R603" s="311"/>
      <c r="S603" s="311"/>
      <c r="T603" s="311"/>
      <c r="U603" s="311"/>
      <c r="V603" s="311"/>
      <c r="W603" s="311"/>
      <c r="X603" s="138"/>
      <c r="Y603" s="311"/>
      <c r="Z603" s="311"/>
      <c r="AA603" s="311"/>
      <c r="AB603" s="311"/>
      <c r="AC603" s="311"/>
      <c r="AD603" s="311"/>
      <c r="AE603" s="311"/>
      <c r="AF603" s="138"/>
      <c r="AG603" s="138"/>
      <c r="AH603" s="138"/>
      <c r="AI603" s="138"/>
      <c r="AJ603" s="138"/>
      <c r="AK603" s="138"/>
      <c r="AL603" s="138"/>
      <c r="AM603" s="138"/>
      <c r="AN603" s="138"/>
      <c r="AO603" s="138"/>
      <c r="AP603" s="138"/>
      <c r="AQ603" s="138"/>
      <c r="AR603" s="138"/>
      <c r="AS603" s="138"/>
      <c r="AT603" s="138"/>
      <c r="AU603" s="138"/>
      <c r="AV603" s="138"/>
      <c r="AW603" s="138"/>
      <c r="AX603" s="138"/>
      <c r="AY603" s="138"/>
      <c r="BB603" s="138"/>
      <c r="BC603" s="138"/>
      <c r="BD603" s="138"/>
      <c r="BE603" s="138"/>
      <c r="BF603" s="138"/>
      <c r="BG603" s="138"/>
      <c r="BH603" s="138"/>
      <c r="BI603" s="138"/>
    </row>
    <row r="604" spans="1:61" ht="15" customHeight="1">
      <c r="A604" s="138"/>
      <c r="B604" s="300"/>
      <c r="C604" s="284" t="str">
        <f>IF(Tool!$H$7="Français",G604,IF(Tool!$H$7="Italiano",I604,E604))</f>
        <v>Auf der rechten Seite werden "ungenügende" Kriterien sowie "Stolpersteine" aufgelistet.</v>
      </c>
      <c r="D604" s="300"/>
      <c r="E604" s="284" t="s">
        <v>1335</v>
      </c>
      <c r="F604" s="300"/>
      <c r="G604" s="284" t="s">
        <v>1925</v>
      </c>
      <c r="H604" s="300"/>
      <c r="I604" s="284" t="s">
        <v>1342</v>
      </c>
      <c r="J604" s="316"/>
      <c r="K604" s="138"/>
      <c r="L604" s="138"/>
      <c r="M604" s="138"/>
      <c r="N604" s="138"/>
      <c r="O604" s="138"/>
      <c r="P604" s="138"/>
      <c r="Q604" s="138"/>
      <c r="R604" s="138"/>
      <c r="S604" s="138"/>
      <c r="T604" s="138"/>
      <c r="U604" s="138"/>
      <c r="V604" s="138"/>
      <c r="W604" s="138"/>
      <c r="X604" s="138"/>
      <c r="Y604" s="138"/>
      <c r="Z604" s="138"/>
      <c r="AA604" s="138"/>
      <c r="AB604" s="138"/>
      <c r="AC604" s="138"/>
      <c r="AD604" s="138"/>
      <c r="AE604" s="311"/>
      <c r="AF604" s="138"/>
      <c r="AG604" s="138"/>
      <c r="AH604" s="138"/>
      <c r="AI604" s="138"/>
      <c r="AJ604" s="138"/>
      <c r="AK604" s="138"/>
      <c r="AL604" s="138"/>
      <c r="AM604" s="138"/>
      <c r="AN604" s="138"/>
      <c r="AO604" s="138"/>
      <c r="AP604" s="138"/>
      <c r="AQ604" s="138"/>
      <c r="AR604" s="138"/>
      <c r="AS604" s="138"/>
      <c r="AT604" s="138"/>
      <c r="AU604" s="138"/>
      <c r="AV604" s="138"/>
      <c r="AW604" s="138"/>
      <c r="AX604" s="138"/>
      <c r="AY604" s="138"/>
      <c r="BB604" s="138"/>
      <c r="BC604" s="138"/>
      <c r="BD604" s="138"/>
      <c r="BE604" s="138"/>
      <c r="BF604" s="138"/>
      <c r="BG604" s="138"/>
      <c r="BH604" s="138"/>
      <c r="BI604" s="138"/>
    </row>
    <row r="605" spans="1:61" ht="15" customHeight="1">
      <c r="A605" s="138"/>
      <c r="B605" s="300"/>
      <c r="C605" s="284" t="str">
        <f>IF(Tool!$H$7="Français",G605,IF(Tool!$H$7="Italiano",I605,E605))</f>
        <v>Die folgenden Kriterien werden als "ungenügend" bewertet und erfordern Nachbesserungen, um den Nachhaltigkeitsansprüchen zu genügen:</v>
      </c>
      <c r="D605" s="300"/>
      <c r="E605" s="284" t="s">
        <v>1293</v>
      </c>
      <c r="F605" s="300"/>
      <c r="G605" s="284" t="s">
        <v>1344</v>
      </c>
      <c r="H605" s="300"/>
      <c r="I605" s="284" t="s">
        <v>1343</v>
      </c>
      <c r="J605" s="316"/>
      <c r="K605" s="138"/>
      <c r="L605" s="138"/>
      <c r="M605" s="138"/>
      <c r="N605" s="138"/>
      <c r="O605" s="138"/>
      <c r="P605" s="138"/>
      <c r="Q605" s="138"/>
      <c r="R605" s="138"/>
      <c r="S605" s="138"/>
      <c r="T605" s="138"/>
      <c r="U605" s="138"/>
      <c r="V605" s="138"/>
      <c r="W605" s="138"/>
      <c r="X605" s="138"/>
      <c r="Y605" s="138"/>
      <c r="Z605" s="138"/>
      <c r="AA605" s="138"/>
      <c r="AB605" s="138"/>
      <c r="AC605" s="138"/>
      <c r="AD605" s="138"/>
      <c r="AE605" s="311"/>
      <c r="AF605" s="138"/>
      <c r="AG605" s="138"/>
      <c r="AH605" s="138"/>
      <c r="AI605" s="138"/>
      <c r="AJ605" s="138"/>
      <c r="AK605" s="138"/>
      <c r="AL605" s="138"/>
      <c r="AM605" s="138"/>
      <c r="AN605" s="138"/>
      <c r="AO605" s="138"/>
      <c r="AP605" s="138"/>
      <c r="AQ605" s="138"/>
      <c r="AR605" s="138"/>
      <c r="AS605" s="138"/>
      <c r="AT605" s="138"/>
      <c r="AU605" s="138"/>
      <c r="AV605" s="138"/>
      <c r="AW605" s="138"/>
      <c r="AX605" s="138"/>
      <c r="AY605" s="138"/>
      <c r="BB605" s="138"/>
      <c r="BC605" s="138"/>
      <c r="BD605" s="138"/>
      <c r="BE605" s="138"/>
      <c r="BF605" s="138"/>
      <c r="BG605" s="138"/>
      <c r="BH605" s="138"/>
      <c r="BI605" s="138"/>
    </row>
    <row r="606" spans="1:61" ht="15" customHeight="1">
      <c r="A606" s="138"/>
      <c r="B606" s="300"/>
      <c r="C606" s="284" t="str">
        <f>IF(Tool!$H$7="Français",G606,IF(Tool!$H$7="Italiano",I606,E606))</f>
        <v xml:space="preserve">Folgende Kriterien werden als "Stolpersteine" im Hinblick auf die Realisierung eins gesamtheitlich nachhaltigen Projekts identifiziert: </v>
      </c>
      <c r="D606" s="300"/>
      <c r="E606" s="284" t="s">
        <v>1336</v>
      </c>
      <c r="F606" s="300"/>
      <c r="G606" s="284" t="s">
        <v>1926</v>
      </c>
      <c r="H606" s="300"/>
      <c r="I606" s="284" t="s">
        <v>1341</v>
      </c>
      <c r="J606" s="316"/>
      <c r="K606" s="138"/>
      <c r="L606" s="138"/>
      <c r="M606" s="138"/>
      <c r="N606" s="138"/>
      <c r="O606" s="138"/>
      <c r="P606" s="138"/>
      <c r="Q606" s="138"/>
      <c r="R606" s="138"/>
      <c r="S606" s="138"/>
      <c r="T606" s="138"/>
      <c r="U606" s="138"/>
      <c r="V606" s="138"/>
      <c r="W606" s="138"/>
      <c r="X606" s="138"/>
      <c r="Y606" s="138"/>
      <c r="Z606" s="138"/>
      <c r="AA606" s="138"/>
      <c r="AB606" s="138"/>
      <c r="AC606" s="138"/>
      <c r="AD606" s="138"/>
      <c r="AE606" s="138"/>
      <c r="AF606" s="138"/>
      <c r="AG606" s="138"/>
      <c r="AH606" s="138"/>
      <c r="AI606" s="138"/>
      <c r="AJ606" s="138"/>
      <c r="AK606" s="138"/>
      <c r="AL606" s="138"/>
      <c r="AM606" s="138"/>
      <c r="AN606" s="138"/>
      <c r="AO606" s="138"/>
      <c r="AP606" s="138"/>
      <c r="AQ606" s="138"/>
      <c r="AR606" s="138"/>
      <c r="AS606" s="138"/>
      <c r="AT606" s="138"/>
      <c r="AU606" s="138"/>
      <c r="AV606" s="138"/>
      <c r="AW606" s="138"/>
      <c r="AX606" s="138"/>
      <c r="AY606" s="138"/>
      <c r="BB606" s="138"/>
      <c r="BC606" s="138"/>
      <c r="BD606" s="138"/>
      <c r="BE606" s="138"/>
      <c r="BF606" s="138"/>
      <c r="BG606" s="138"/>
      <c r="BH606" s="138"/>
      <c r="BI606" s="138"/>
    </row>
    <row r="607" spans="1:61" ht="15.65" customHeight="1">
      <c r="A607" s="138"/>
      <c r="B607" s="301"/>
      <c r="C607" s="284" t="str">
        <f>IF(Tool!$H$7="Français",G607,IF(Tool!$H$7="Italiano",I607,E607))</f>
        <v>Bei Erneuerungen dürften im Rahmen einer SNBS-Zertifizierung folgende Kriterien eine ungenügende Bewertung aufweisen, solange die Durchschnittsbenotung im übergeordneten Thema genügend bleibt :</v>
      </c>
      <c r="D607" s="301"/>
      <c r="E607" s="284" t="s">
        <v>1337</v>
      </c>
      <c r="F607" s="301"/>
      <c r="G607" s="284" t="s">
        <v>1927</v>
      </c>
      <c r="H607" s="301"/>
      <c r="I607" s="284" t="s">
        <v>1907</v>
      </c>
      <c r="J607" s="138"/>
      <c r="K607" s="138"/>
      <c r="L607" s="138"/>
      <c r="M607" s="138"/>
      <c r="N607" s="138"/>
      <c r="O607" s="138"/>
      <c r="P607" s="138"/>
      <c r="Q607" s="138"/>
      <c r="R607" s="138"/>
      <c r="S607" s="138"/>
      <c r="T607" s="138"/>
      <c r="U607" s="138"/>
      <c r="V607" s="138"/>
      <c r="W607" s="138"/>
      <c r="X607" s="138"/>
      <c r="Y607" s="138"/>
      <c r="Z607" s="138"/>
      <c r="AA607" s="138"/>
      <c r="AB607" s="138"/>
      <c r="AC607" s="138"/>
      <c r="AD607" s="138"/>
      <c r="AE607" s="138"/>
      <c r="AF607" s="138"/>
      <c r="AG607" s="138"/>
      <c r="AH607" s="138"/>
      <c r="AI607" s="138"/>
      <c r="AJ607" s="138"/>
      <c r="AK607" s="138"/>
      <c r="AL607" s="138"/>
      <c r="AM607" s="138"/>
      <c r="AN607" s="138"/>
      <c r="AO607" s="138"/>
      <c r="AP607" s="138"/>
      <c r="AQ607" s="138"/>
      <c r="AR607" s="138"/>
      <c r="AS607" s="138"/>
      <c r="AT607" s="138"/>
      <c r="AU607" s="138"/>
      <c r="AV607" s="138"/>
      <c r="AW607" s="138"/>
      <c r="AX607" s="138"/>
      <c r="AY607" s="138"/>
      <c r="BB607" s="138"/>
      <c r="BC607" s="138"/>
      <c r="BD607" s="138"/>
      <c r="BE607" s="138"/>
      <c r="BF607" s="138"/>
      <c r="BG607" s="138"/>
      <c r="BH607" s="138"/>
      <c r="BI607" s="138"/>
    </row>
    <row r="608" spans="1:61" ht="15" customHeight="1">
      <c r="A608" s="138"/>
      <c r="B608" s="448"/>
      <c r="C608" s="869" t="str">
        <f>IF(Tool!$H$7="Français",G608,IF(Tool!$H$7="Italiano",I608,E608))</f>
        <v>Hinweisfeld</v>
      </c>
      <c r="D608" s="306"/>
      <c r="E608" s="869" t="s">
        <v>1363</v>
      </c>
      <c r="F608" s="306"/>
      <c r="G608" s="869" t="s">
        <v>1365</v>
      </c>
      <c r="H608" s="306"/>
      <c r="I608" s="869" t="s">
        <v>1364</v>
      </c>
      <c r="J608" s="316"/>
      <c r="K608" s="138"/>
      <c r="L608" s="138"/>
      <c r="M608" s="138"/>
      <c r="N608" s="138"/>
      <c r="O608" s="138"/>
      <c r="P608" s="138"/>
      <c r="Q608" s="138"/>
      <c r="R608" s="138"/>
      <c r="S608" s="138"/>
      <c r="T608" s="138"/>
      <c r="U608" s="138"/>
      <c r="V608" s="138"/>
      <c r="W608" s="138"/>
      <c r="X608" s="138"/>
      <c r="Y608" s="138"/>
      <c r="Z608" s="138"/>
      <c r="AA608" s="138"/>
      <c r="AB608" s="138"/>
      <c r="AC608" s="138"/>
      <c r="AD608" s="138"/>
      <c r="AE608" s="138"/>
      <c r="AF608" s="311"/>
      <c r="AG608" s="311"/>
      <c r="AH608" s="311"/>
      <c r="AI608" s="311"/>
      <c r="AJ608" s="311"/>
      <c r="AK608" s="311"/>
      <c r="AL608" s="311"/>
      <c r="AM608" s="311"/>
      <c r="AN608" s="311"/>
      <c r="AO608" s="311"/>
      <c r="AP608" s="311"/>
      <c r="AQ608" s="311"/>
      <c r="AR608" s="311"/>
      <c r="AS608" s="311"/>
      <c r="AT608" s="311"/>
      <c r="AU608" s="311"/>
      <c r="AV608" s="138"/>
      <c r="AW608" s="138"/>
      <c r="AX608" s="138"/>
      <c r="AY608" s="138"/>
      <c r="BB608" s="138"/>
      <c r="BC608" s="138"/>
      <c r="BD608" s="138"/>
      <c r="BE608" s="138"/>
      <c r="BF608" s="138"/>
      <c r="BG608" s="138"/>
      <c r="BH608" s="138"/>
      <c r="BI608" s="138"/>
    </row>
    <row r="609" spans="1:61" ht="15" customHeight="1">
      <c r="A609" s="138"/>
      <c r="B609" s="300"/>
      <c r="C609" s="284" t="str">
        <f>IF(Tool!$H$7="Français",G609,IF(Tool!$H$7="Italiano",I609,E609))</f>
        <v>z. B. Entwicklungskonzepte Stadt/Gemeinde, Gestaltungspläne, regionale oder kantonale Raumordnungskonzepte oder Richtpläne</v>
      </c>
      <c r="D609" s="301"/>
      <c r="E609" s="284" t="s">
        <v>1366</v>
      </c>
      <c r="F609" s="301"/>
      <c r="G609" s="284" t="s">
        <v>1928</v>
      </c>
      <c r="H609" s="301"/>
      <c r="I609" s="284" t="s">
        <v>1672</v>
      </c>
      <c r="J609" s="316"/>
      <c r="K609" s="138"/>
      <c r="L609" s="138"/>
      <c r="M609" s="138"/>
      <c r="N609" s="138"/>
      <c r="O609" s="138"/>
      <c r="P609" s="138"/>
      <c r="Q609" s="138"/>
      <c r="R609" s="311"/>
      <c r="S609" s="311"/>
      <c r="T609" s="311"/>
      <c r="U609" s="311"/>
      <c r="V609" s="311"/>
      <c r="W609" s="311"/>
      <c r="X609" s="138"/>
      <c r="Y609" s="311"/>
      <c r="Z609" s="311"/>
      <c r="AA609" s="311"/>
      <c r="AB609" s="311"/>
      <c r="AC609" s="311"/>
      <c r="AD609" s="311"/>
      <c r="AE609" s="311"/>
      <c r="AF609" s="138"/>
      <c r="AG609" s="138"/>
      <c r="AH609" s="138"/>
      <c r="AI609" s="138"/>
      <c r="AJ609" s="138"/>
      <c r="AK609" s="138"/>
      <c r="AL609" s="138"/>
      <c r="AM609" s="138"/>
      <c r="AN609" s="138"/>
      <c r="AO609" s="138"/>
      <c r="AP609" s="138"/>
      <c r="AQ609" s="138"/>
      <c r="AR609" s="138"/>
      <c r="AS609" s="138"/>
      <c r="AT609" s="138"/>
      <c r="AU609" s="138"/>
      <c r="AV609" s="138"/>
      <c r="AW609" s="138"/>
      <c r="AX609" s="138"/>
      <c r="AY609" s="138"/>
      <c r="BB609" s="138"/>
      <c r="BC609" s="138"/>
      <c r="BD609" s="138"/>
      <c r="BE609" s="138"/>
      <c r="BF609" s="138"/>
      <c r="BG609" s="138"/>
      <c r="BH609" s="138"/>
      <c r="BI609" s="138"/>
    </row>
    <row r="610" spans="1:61" ht="15" customHeight="1">
      <c r="A610" s="138"/>
      <c r="B610" s="299"/>
      <c r="C610" s="415" t="str">
        <f>IF(Tool!$H$7="Français",G610,IF(Tool!$H$7="Italiano",I610,E610))</f>
        <v>SIA 142:2009 «Ordnung für Architektur- und Ingenieurwettbewerbe», SIA 143:2009 «Ordnung für Architektur- und Ingenieurstudienaufträge»</v>
      </c>
      <c r="D610" s="299"/>
      <c r="E610" s="415" t="s">
        <v>1367</v>
      </c>
      <c r="F610" s="299"/>
      <c r="G610" s="415" t="s">
        <v>1368</v>
      </c>
      <c r="H610" s="299"/>
      <c r="I610" s="415" t="s">
        <v>1369</v>
      </c>
      <c r="J610" s="316"/>
      <c r="K610" s="138"/>
      <c r="L610" s="138"/>
      <c r="M610" s="138"/>
      <c r="N610" s="138"/>
      <c r="O610" s="138"/>
      <c r="P610" s="138"/>
      <c r="Q610" s="138"/>
      <c r="R610" s="138"/>
      <c r="S610" s="138"/>
      <c r="T610" s="138"/>
      <c r="U610" s="138"/>
      <c r="V610" s="138"/>
      <c r="W610" s="138"/>
      <c r="X610" s="138"/>
      <c r="Y610" s="138"/>
      <c r="Z610" s="138"/>
      <c r="AA610" s="138"/>
      <c r="AB610" s="138"/>
      <c r="AC610" s="138"/>
      <c r="AD610" s="138"/>
      <c r="AE610" s="311"/>
      <c r="AF610" s="138"/>
      <c r="AG610" s="138"/>
      <c r="AH610" s="138"/>
      <c r="AI610" s="138"/>
      <c r="AJ610" s="138"/>
      <c r="AK610" s="138"/>
      <c r="AL610" s="138"/>
      <c r="AM610" s="138"/>
      <c r="AN610" s="138"/>
      <c r="AO610" s="138"/>
      <c r="AP610" s="138"/>
      <c r="AQ610" s="138"/>
      <c r="AR610" s="138"/>
      <c r="AS610" s="138"/>
      <c r="AT610" s="138"/>
      <c r="AU610" s="138"/>
      <c r="AV610" s="138"/>
      <c r="AW610" s="138"/>
      <c r="AX610" s="138"/>
      <c r="AY610" s="138"/>
      <c r="BB610" s="138"/>
      <c r="BC610" s="138"/>
      <c r="BD610" s="138"/>
      <c r="BE610" s="138"/>
      <c r="BF610" s="138"/>
      <c r="BG610" s="138"/>
      <c r="BH610" s="138"/>
      <c r="BI610" s="138"/>
    </row>
    <row r="611" spans="1:61" ht="15" customHeight="1">
      <c r="A611" s="138"/>
      <c r="B611" s="300"/>
      <c r="C611" s="284" t="str">
        <f>IF(Tool!$H$7="Français",G611,IF(Tool!$H$7="Italiano",I611,E611))</f>
        <v>SIA 144:2013 «Ordnung für Ingenieur- und Architekturleistungsofferten»</v>
      </c>
      <c r="D611" s="300"/>
      <c r="E611" s="284" t="s">
        <v>1370</v>
      </c>
      <c r="F611" s="300"/>
      <c r="G611" s="284" t="s">
        <v>1371</v>
      </c>
      <c r="H611" s="300"/>
      <c r="I611" s="284" t="s">
        <v>1372</v>
      </c>
      <c r="J611" s="316"/>
      <c r="K611" s="138"/>
      <c r="L611" s="138"/>
      <c r="M611" s="138"/>
      <c r="N611" s="138"/>
      <c r="O611" s="138"/>
      <c r="P611" s="138"/>
      <c r="Q611" s="138"/>
      <c r="R611" s="138"/>
      <c r="S611" s="138"/>
      <c r="T611" s="138"/>
      <c r="U611" s="138"/>
      <c r="V611" s="138"/>
      <c r="W611" s="138"/>
      <c r="X611" s="138"/>
      <c r="Y611" s="138"/>
      <c r="Z611" s="138"/>
      <c r="AA611" s="138"/>
      <c r="AB611" s="138"/>
      <c r="AC611" s="138"/>
      <c r="AD611" s="138"/>
      <c r="AE611" s="311"/>
      <c r="AF611" s="138"/>
      <c r="AG611" s="138"/>
      <c r="AH611" s="138"/>
      <c r="AI611" s="138"/>
      <c r="AJ611" s="138"/>
      <c r="AK611" s="138"/>
      <c r="AL611" s="138"/>
      <c r="AM611" s="138"/>
      <c r="AN611" s="138"/>
      <c r="AO611" s="138"/>
      <c r="AP611" s="138"/>
      <c r="AQ611" s="138"/>
      <c r="AR611" s="138"/>
      <c r="AS611" s="138"/>
      <c r="AT611" s="138"/>
      <c r="AU611" s="138"/>
      <c r="AV611" s="138"/>
      <c r="AW611" s="138"/>
      <c r="AX611" s="138"/>
      <c r="AY611" s="138"/>
      <c r="BB611" s="138"/>
      <c r="BC611" s="138"/>
      <c r="BD611" s="138"/>
      <c r="BE611" s="138"/>
      <c r="BF611" s="138"/>
      <c r="BG611" s="138"/>
      <c r="BH611" s="138"/>
      <c r="BI611" s="138"/>
    </row>
    <row r="612" spans="1:61" ht="15" customHeight="1">
      <c r="A612" s="138"/>
      <c r="B612" s="300"/>
      <c r="C612" s="284" t="str">
        <f>IF(Tool!$H$7="Français",G612,IF(Tool!$H$7="Italiano",I612,E612))</f>
        <v>SIA 500:2009 «Hindernisfreie Bauten»</v>
      </c>
      <c r="D612" s="300"/>
      <c r="E612" s="284" t="s">
        <v>1388</v>
      </c>
      <c r="F612" s="300"/>
      <c r="G612" s="284" t="s">
        <v>1389</v>
      </c>
      <c r="H612" s="300"/>
      <c r="I612" s="284" t="s">
        <v>1390</v>
      </c>
      <c r="J612" s="316"/>
      <c r="K612" s="138"/>
      <c r="L612" s="138"/>
      <c r="M612" s="138"/>
      <c r="N612" s="138"/>
      <c r="O612" s="138"/>
      <c r="P612" s="138"/>
      <c r="Q612" s="138"/>
      <c r="R612" s="138"/>
      <c r="S612" s="138"/>
      <c r="T612" s="138"/>
      <c r="U612" s="138"/>
      <c r="V612" s="138"/>
      <c r="W612" s="138"/>
      <c r="X612" s="138"/>
      <c r="Y612" s="138"/>
      <c r="Z612" s="138"/>
      <c r="AA612" s="138"/>
      <c r="AB612" s="138"/>
      <c r="AC612" s="138"/>
      <c r="AD612" s="138"/>
      <c r="AE612" s="311"/>
      <c r="AF612" s="138"/>
      <c r="AG612" s="138"/>
      <c r="AH612" s="138"/>
      <c r="AI612" s="138"/>
      <c r="AJ612" s="138"/>
      <c r="AK612" s="138"/>
      <c r="AL612" s="138"/>
      <c r="AM612" s="138"/>
      <c r="AN612" s="138"/>
      <c r="AO612" s="138"/>
      <c r="AP612" s="138"/>
      <c r="AQ612" s="138"/>
      <c r="AR612" s="138"/>
      <c r="AS612" s="138"/>
      <c r="AT612" s="138"/>
      <c r="AU612" s="138"/>
      <c r="AV612" s="138"/>
      <c r="AW612" s="138"/>
      <c r="AX612" s="138"/>
      <c r="AY612" s="138"/>
      <c r="BB612" s="138"/>
      <c r="BC612" s="138"/>
      <c r="BD612" s="138"/>
      <c r="BE612" s="138"/>
      <c r="BF612" s="138"/>
      <c r="BG612" s="138"/>
      <c r="BH612" s="138"/>
      <c r="BI612" s="138"/>
    </row>
    <row r="613" spans="1:61" ht="15" customHeight="1">
      <c r="A613" s="138"/>
      <c r="B613" s="300"/>
      <c r="C613" s="284" t="str">
        <f>IF(Tool!$H$7="Français",G613,IF(Tool!$H$7="Italiano",I613,E613))</f>
        <v>SIA 180:2014 «Wärmeschutz, Feuchteschutz und Raumklima in Gebäuden»</v>
      </c>
      <c r="D613" s="300"/>
      <c r="E613" s="284" t="s">
        <v>1391</v>
      </c>
      <c r="F613" s="300"/>
      <c r="G613" s="284" t="s">
        <v>1392</v>
      </c>
      <c r="H613" s="300"/>
      <c r="I613" s="284" t="s">
        <v>1393</v>
      </c>
      <c r="J613" s="316"/>
      <c r="K613" s="138"/>
      <c r="L613" s="138"/>
      <c r="M613" s="138"/>
      <c r="N613" s="138"/>
      <c r="O613" s="138"/>
      <c r="P613" s="138"/>
      <c r="Q613" s="138"/>
      <c r="R613" s="138"/>
      <c r="S613" s="138"/>
      <c r="T613" s="138"/>
      <c r="U613" s="138"/>
      <c r="V613" s="138"/>
      <c r="W613" s="138"/>
      <c r="X613" s="138"/>
      <c r="Y613" s="138"/>
      <c r="Z613" s="138"/>
      <c r="AA613" s="138"/>
      <c r="AB613" s="138"/>
      <c r="AC613" s="138"/>
      <c r="AD613" s="138"/>
      <c r="AE613" s="311"/>
      <c r="AF613" s="138"/>
      <c r="AG613" s="138"/>
      <c r="AH613" s="138"/>
      <c r="AI613" s="138"/>
      <c r="AJ613" s="138"/>
      <c r="AK613" s="138"/>
      <c r="AL613" s="138"/>
      <c r="AM613" s="138"/>
      <c r="AN613" s="138"/>
      <c r="AO613" s="138"/>
      <c r="AP613" s="138"/>
      <c r="AQ613" s="138"/>
      <c r="AR613" s="138"/>
      <c r="AS613" s="138"/>
      <c r="AT613" s="138"/>
      <c r="AU613" s="138"/>
      <c r="AV613" s="138"/>
      <c r="AW613" s="138"/>
      <c r="AX613" s="138"/>
      <c r="AY613" s="138"/>
      <c r="BB613" s="138"/>
      <c r="BC613" s="138"/>
      <c r="BD613" s="138"/>
      <c r="BE613" s="138"/>
      <c r="BF613" s="138"/>
      <c r="BG613" s="138"/>
      <c r="BH613" s="138"/>
      <c r="BI613" s="138"/>
    </row>
    <row r="614" spans="1:61" ht="15" customHeight="1">
      <c r="A614" s="138"/>
      <c r="B614" s="300"/>
      <c r="C614" s="284" t="str">
        <f>IF(Tool!$H$7="Français",G614,IF(Tool!$H$7="Italiano",I614,E614))</f>
        <v>SN/EN 17037:2019 «Tageslicht in Gebäuden»</v>
      </c>
      <c r="D614" s="300"/>
      <c r="E614" s="284" t="s">
        <v>1400</v>
      </c>
      <c r="F614" s="300"/>
      <c r="G614" s="284" t="s">
        <v>1401</v>
      </c>
      <c r="H614" s="300"/>
      <c r="I614" s="284" t="s">
        <v>1402</v>
      </c>
      <c r="J614" s="316"/>
      <c r="K614" s="138"/>
      <c r="L614" s="138"/>
      <c r="M614" s="138"/>
      <c r="N614" s="138"/>
      <c r="O614" s="138"/>
      <c r="P614" s="138"/>
      <c r="Q614" s="138"/>
      <c r="R614" s="138"/>
      <c r="S614" s="138"/>
      <c r="T614" s="138"/>
      <c r="U614" s="138"/>
      <c r="V614" s="138"/>
      <c r="W614" s="138"/>
      <c r="X614" s="138"/>
      <c r="Y614" s="138"/>
      <c r="Z614" s="138"/>
      <c r="AA614" s="138"/>
      <c r="AB614" s="138"/>
      <c r="AC614" s="138"/>
      <c r="AD614" s="138"/>
      <c r="AE614" s="311"/>
      <c r="AF614" s="138"/>
      <c r="AG614" s="138"/>
      <c r="AH614" s="138"/>
      <c r="AI614" s="138"/>
      <c r="AJ614" s="138"/>
      <c r="AK614" s="138"/>
      <c r="AL614" s="138"/>
      <c r="AM614" s="138"/>
      <c r="AN614" s="138"/>
      <c r="AO614" s="138"/>
      <c r="AP614" s="138"/>
      <c r="AQ614" s="138"/>
      <c r="AR614" s="138"/>
      <c r="AS614" s="138"/>
      <c r="AT614" s="138"/>
      <c r="AU614" s="138"/>
      <c r="AV614" s="138"/>
      <c r="AW614" s="138"/>
      <c r="AX614" s="138"/>
      <c r="AY614" s="138"/>
      <c r="BB614" s="138"/>
      <c r="BC614" s="138"/>
      <c r="BD614" s="138"/>
      <c r="BE614" s="138"/>
      <c r="BF614" s="138"/>
      <c r="BG614" s="138"/>
      <c r="BH614" s="138"/>
      <c r="BI614" s="138"/>
    </row>
    <row r="615" spans="1:61" ht="15" customHeight="1">
      <c r="A615" s="138"/>
      <c r="B615" s="300"/>
      <c r="C615" s="284" t="str">
        <f>IF(Tool!$H$7="Français",G615,IF(Tool!$H$7="Italiano",I615,E615))</f>
        <v>SIA 181:2006 «Schallschutz im Hochbau»
SIA 181:2020 «Schallschutz im Hochbau»</v>
      </c>
      <c r="D615" s="300"/>
      <c r="E615" s="284" t="s">
        <v>1403</v>
      </c>
      <c r="F615" s="300"/>
      <c r="G615" s="284" t="s">
        <v>1404</v>
      </c>
      <c r="H615" s="300"/>
      <c r="I615" s="284" t="s">
        <v>1405</v>
      </c>
      <c r="J615" s="316"/>
      <c r="K615" s="138"/>
      <c r="L615" s="138"/>
      <c r="M615" s="138"/>
      <c r="N615" s="138"/>
      <c r="O615" s="138"/>
      <c r="P615" s="138"/>
      <c r="Q615" s="138"/>
      <c r="R615" s="138"/>
      <c r="S615" s="138"/>
      <c r="T615" s="138"/>
      <c r="U615" s="138"/>
      <c r="V615" s="138"/>
      <c r="W615" s="138"/>
      <c r="X615" s="138"/>
      <c r="Y615" s="138"/>
      <c r="Z615" s="138"/>
      <c r="AA615" s="138"/>
      <c r="AB615" s="138"/>
      <c r="AC615" s="138"/>
      <c r="AD615" s="138"/>
      <c r="AE615" s="311"/>
      <c r="AF615" s="138"/>
      <c r="AG615" s="138"/>
      <c r="AH615" s="138"/>
      <c r="AI615" s="138"/>
      <c r="AJ615" s="138"/>
      <c r="AK615" s="138"/>
      <c r="AL615" s="138"/>
      <c r="AM615" s="138"/>
      <c r="AN615" s="138"/>
      <c r="AO615" s="138"/>
      <c r="AP615" s="138"/>
      <c r="AQ615" s="138"/>
      <c r="AR615" s="138"/>
      <c r="AS615" s="138"/>
      <c r="AT615" s="138"/>
      <c r="AU615" s="138"/>
      <c r="AV615" s="138"/>
      <c r="AW615" s="138"/>
      <c r="AX615" s="138"/>
      <c r="AY615" s="138"/>
      <c r="BB615" s="138"/>
      <c r="BC615" s="138"/>
      <c r="BD615" s="138"/>
      <c r="BE615" s="138"/>
      <c r="BF615" s="138"/>
      <c r="BG615" s="138"/>
      <c r="BH615" s="138"/>
      <c r="BI615" s="138"/>
    </row>
    <row r="616" spans="1:61" ht="15" customHeight="1">
      <c r="A616" s="138"/>
      <c r="B616" s="300"/>
      <c r="C616" s="284" t="str">
        <f>IF(Tool!$H$7="Français",G616,IF(Tool!$H$7="Italiano",I616,E616))</f>
        <v>z.B. IFMA-Tool, SNBS-Hilfstool 211</v>
      </c>
      <c r="D616" s="300"/>
      <c r="E616" s="284" t="s">
        <v>1408</v>
      </c>
      <c r="F616" s="300"/>
      <c r="G616" s="284" t="s">
        <v>1409</v>
      </c>
      <c r="H616" s="300"/>
      <c r="I616" s="284" t="s">
        <v>1410</v>
      </c>
      <c r="J616" s="316"/>
      <c r="K616" s="138"/>
      <c r="L616" s="138"/>
      <c r="M616" s="138"/>
      <c r="N616" s="138"/>
      <c r="O616" s="138"/>
      <c r="P616" s="138"/>
      <c r="Q616" s="138"/>
      <c r="R616" s="138"/>
      <c r="S616" s="138"/>
      <c r="T616" s="138"/>
      <c r="U616" s="138"/>
      <c r="V616" s="138"/>
      <c r="W616" s="138"/>
      <c r="X616" s="138"/>
      <c r="Y616" s="138"/>
      <c r="Z616" s="138"/>
      <c r="AA616" s="138"/>
      <c r="AB616" s="138"/>
      <c r="AC616" s="138"/>
      <c r="AD616" s="138"/>
      <c r="AE616" s="311"/>
      <c r="AF616" s="138"/>
      <c r="AG616" s="138"/>
      <c r="AH616" s="138"/>
      <c r="AI616" s="138"/>
      <c r="AJ616" s="138"/>
      <c r="AK616" s="138"/>
      <c r="AL616" s="138"/>
      <c r="AM616" s="138"/>
      <c r="AN616" s="138"/>
      <c r="AO616" s="138"/>
      <c r="AP616" s="138"/>
      <c r="AQ616" s="138"/>
      <c r="AR616" s="138"/>
      <c r="AS616" s="138"/>
      <c r="AT616" s="138"/>
      <c r="AU616" s="138"/>
      <c r="AV616" s="138"/>
      <c r="AW616" s="138"/>
      <c r="AX616" s="138"/>
      <c r="AY616" s="138"/>
      <c r="BB616" s="138"/>
      <c r="BC616" s="138"/>
      <c r="BD616" s="138"/>
      <c r="BE616" s="138"/>
      <c r="BF616" s="138"/>
      <c r="BG616" s="138"/>
      <c r="BH616" s="138"/>
      <c r="BI616" s="138"/>
    </row>
    <row r="617" spans="1:61" ht="15" customHeight="1">
      <c r="A617" s="138"/>
      <c r="B617" s="300"/>
      <c r="C617" s="284" t="str">
        <f>IF(Tool!$H$7="Français",G617,IF(Tool!$H$7="Italiano",I617,E617))</f>
        <v>SIA 113:2010 «FM-gerechte Bauplanung und Realisierung»</v>
      </c>
      <c r="D617" s="300"/>
      <c r="E617" s="284" t="s">
        <v>1412</v>
      </c>
      <c r="F617" s="300"/>
      <c r="G617" s="284" t="s">
        <v>1413</v>
      </c>
      <c r="H617" s="300"/>
      <c r="I617" s="284" t="s">
        <v>1414</v>
      </c>
      <c r="J617" s="316"/>
      <c r="K617" s="138"/>
      <c r="L617" s="138"/>
      <c r="M617" s="138"/>
      <c r="N617" s="138"/>
      <c r="O617" s="138"/>
      <c r="P617" s="138"/>
      <c r="Q617" s="138"/>
      <c r="R617" s="138"/>
      <c r="S617" s="138"/>
      <c r="T617" s="138"/>
      <c r="U617" s="138"/>
      <c r="V617" s="138"/>
      <c r="W617" s="138"/>
      <c r="X617" s="138"/>
      <c r="Y617" s="138"/>
      <c r="Z617" s="138"/>
      <c r="AA617" s="138"/>
      <c r="AB617" s="138"/>
      <c r="AC617" s="138"/>
      <c r="AD617" s="138"/>
      <c r="AE617" s="311"/>
      <c r="AF617" s="138"/>
      <c r="AG617" s="138"/>
      <c r="AH617" s="138"/>
      <c r="AI617" s="138"/>
      <c r="AJ617" s="138"/>
      <c r="AK617" s="138"/>
      <c r="AL617" s="138"/>
      <c r="AM617" s="138"/>
      <c r="AN617" s="138"/>
      <c r="AO617" s="138"/>
      <c r="AP617" s="138"/>
      <c r="AQ617" s="138"/>
      <c r="AR617" s="138"/>
      <c r="AS617" s="138"/>
      <c r="AT617" s="138"/>
      <c r="AU617" s="138"/>
      <c r="AV617" s="138"/>
      <c r="AW617" s="138"/>
      <c r="AX617" s="138"/>
      <c r="AY617" s="138"/>
      <c r="BB617" s="138"/>
      <c r="BC617" s="138"/>
      <c r="BD617" s="138"/>
      <c r="BE617" s="138"/>
      <c r="BF617" s="138"/>
      <c r="BG617" s="138"/>
      <c r="BH617" s="138"/>
      <c r="BI617" s="138"/>
    </row>
    <row r="618" spans="1:61" ht="15" customHeight="1">
      <c r="A618" s="138"/>
      <c r="B618" s="300"/>
      <c r="C618" s="284" t="str">
        <f>IF(Tool!$H$7="Français",G618,IF(Tool!$H$7="Italiano",I618,E618))</f>
        <v>SIA 261:2020 «Einwirkungen auf Tragwerke»
SIA 261/1:2020 «Einwirkungen auf Tragwerke − Ergänzende Festlegungen»
Online-Bewertungstool</v>
      </c>
      <c r="D618" s="300"/>
      <c r="E618" s="284" t="s">
        <v>1416</v>
      </c>
      <c r="F618" s="300"/>
      <c r="G618" s="284" t="s">
        <v>1417</v>
      </c>
      <c r="H618" s="300"/>
      <c r="I618" s="284" t="s">
        <v>1418</v>
      </c>
      <c r="J618" s="316"/>
      <c r="K618" s="138"/>
      <c r="L618" s="138"/>
      <c r="M618" s="138"/>
      <c r="N618" s="138"/>
      <c r="O618" s="138"/>
      <c r="P618" s="138"/>
      <c r="Q618" s="138"/>
      <c r="R618" s="138"/>
      <c r="S618" s="138"/>
      <c r="T618" s="138"/>
      <c r="U618" s="138"/>
      <c r="V618" s="138"/>
      <c r="W618" s="138"/>
      <c r="X618" s="138"/>
      <c r="Y618" s="138"/>
      <c r="Z618" s="138"/>
      <c r="AA618" s="138"/>
      <c r="AB618" s="138"/>
      <c r="AC618" s="138"/>
      <c r="AD618" s="138"/>
      <c r="AE618" s="311"/>
      <c r="AF618" s="138"/>
      <c r="AG618" s="138"/>
      <c r="AH618" s="138"/>
      <c r="AI618" s="138"/>
      <c r="AJ618" s="138"/>
      <c r="AK618" s="138"/>
      <c r="AL618" s="138"/>
      <c r="AM618" s="138"/>
      <c r="AN618" s="138"/>
      <c r="AO618" s="138"/>
      <c r="AP618" s="138"/>
      <c r="AQ618" s="138"/>
      <c r="AR618" s="138"/>
      <c r="AS618" s="138"/>
      <c r="AT618" s="138"/>
      <c r="AU618" s="138"/>
      <c r="AV618" s="138"/>
      <c r="AW618" s="138"/>
      <c r="AX618" s="138"/>
      <c r="AY618" s="138"/>
      <c r="BB618" s="138"/>
      <c r="BC618" s="138"/>
      <c r="BD618" s="138"/>
      <c r="BE618" s="138"/>
      <c r="BF618" s="138"/>
      <c r="BG618" s="138"/>
      <c r="BH618" s="138"/>
      <c r="BI618" s="138"/>
    </row>
    <row r="619" spans="1:61" ht="15" customHeight="1">
      <c r="A619" s="138"/>
      <c r="B619" s="300"/>
      <c r="C619" s="284" t="str">
        <f>IF(Tool!$H$7="Français",G619,IF(Tool!$H$7="Italiano",I619,E619))</f>
        <v>SIA 2032:2020 «Graue Energie − Ökobilanzierung für die Erstellung von Gebäuden»</v>
      </c>
      <c r="D619" s="300"/>
      <c r="E619" s="284" t="s">
        <v>1420</v>
      </c>
      <c r="F619" s="300"/>
      <c r="G619" s="284" t="s">
        <v>1421</v>
      </c>
      <c r="H619" s="300"/>
      <c r="I619" s="284" t="s">
        <v>1422</v>
      </c>
      <c r="J619" s="316"/>
      <c r="K619" s="138"/>
      <c r="L619" s="138"/>
      <c r="M619" s="138"/>
      <c r="N619" s="138"/>
      <c r="O619" s="138"/>
      <c r="P619" s="138"/>
      <c r="Q619" s="138"/>
      <c r="R619" s="138"/>
      <c r="S619" s="138"/>
      <c r="T619" s="138"/>
      <c r="U619" s="138"/>
      <c r="V619" s="138"/>
      <c r="W619" s="138"/>
      <c r="X619" s="138"/>
      <c r="Y619" s="138"/>
      <c r="Z619" s="138"/>
      <c r="AA619" s="138"/>
      <c r="AB619" s="138"/>
      <c r="AC619" s="138"/>
      <c r="AD619" s="138"/>
      <c r="AE619" s="311"/>
      <c r="AF619" s="138"/>
      <c r="AG619" s="138"/>
      <c r="AH619" s="138"/>
      <c r="AI619" s="138"/>
      <c r="AJ619" s="138"/>
      <c r="AK619" s="138"/>
      <c r="AL619" s="138"/>
      <c r="AM619" s="138"/>
      <c r="AN619" s="138"/>
      <c r="AO619" s="138"/>
      <c r="AP619" s="138"/>
      <c r="AQ619" s="138"/>
      <c r="AR619" s="138"/>
      <c r="AS619" s="138"/>
      <c r="AT619" s="138"/>
      <c r="AU619" s="138"/>
      <c r="AV619" s="138"/>
      <c r="AW619" s="138"/>
      <c r="AX619" s="138"/>
      <c r="AY619" s="138"/>
      <c r="BB619" s="138"/>
      <c r="BC619" s="138"/>
      <c r="BD619" s="138"/>
      <c r="BE619" s="138"/>
      <c r="BF619" s="138"/>
      <c r="BG619" s="138"/>
      <c r="BH619" s="138"/>
      <c r="BI619" s="138"/>
    </row>
    <row r="620" spans="1:61" ht="15" customHeight="1">
      <c r="A620" s="138"/>
      <c r="B620" s="300"/>
      <c r="C620" s="284" t="str">
        <f>IF(Tool!$H$7="Français",G620,IF(Tool!$H$7="Italiano",I620,E620))</f>
        <v>SIA 380/1:2016 «Heizwärmebedarf»
SIA 382/2:2011 «Klimatisierte Gebäude − Leistungs- und Energiebedarf»
SIA 387/4:2023 «Elektrizität in Gebäuden − Beleuchtung: Berechnung und Anforderungen»</v>
      </c>
      <c r="D620" s="300"/>
      <c r="E620" s="284" t="s">
        <v>1945</v>
      </c>
      <c r="F620" s="300"/>
      <c r="G620" s="284" t="s">
        <v>1946</v>
      </c>
      <c r="H620" s="300"/>
      <c r="I620" s="284" t="s">
        <v>1947</v>
      </c>
      <c r="J620" s="316"/>
      <c r="K620" s="138"/>
      <c r="L620" s="138"/>
      <c r="M620" s="138"/>
      <c r="N620" s="138"/>
      <c r="O620" s="138"/>
      <c r="P620" s="138"/>
      <c r="Q620" s="138"/>
      <c r="R620" s="138"/>
      <c r="S620" s="138"/>
      <c r="T620" s="138"/>
      <c r="U620" s="138"/>
      <c r="V620" s="138"/>
      <c r="W620" s="138"/>
      <c r="X620" s="138"/>
      <c r="Y620" s="138"/>
      <c r="Z620" s="138"/>
      <c r="AA620" s="138"/>
      <c r="AB620" s="138"/>
      <c r="AC620" s="138"/>
      <c r="AD620" s="138"/>
      <c r="AE620" s="311"/>
      <c r="AF620" s="138"/>
      <c r="AG620" s="138"/>
      <c r="AH620" s="138"/>
      <c r="AI620" s="138"/>
      <c r="AJ620" s="138"/>
      <c r="AK620" s="138"/>
      <c r="AL620" s="138"/>
      <c r="AM620" s="138"/>
      <c r="AN620" s="138"/>
      <c r="AO620" s="138"/>
      <c r="AP620" s="138"/>
      <c r="AQ620" s="138"/>
      <c r="AR620" s="138"/>
      <c r="AS620" s="138"/>
      <c r="AT620" s="138"/>
      <c r="AU620" s="138"/>
      <c r="AV620" s="138"/>
      <c r="AW620" s="138"/>
      <c r="AX620" s="138"/>
      <c r="AY620" s="138"/>
      <c r="BB620" s="138"/>
      <c r="BC620" s="138"/>
      <c r="BD620" s="138"/>
      <c r="BE620" s="138"/>
      <c r="BF620" s="138"/>
      <c r="BG620" s="138"/>
      <c r="BH620" s="138"/>
      <c r="BI620" s="138"/>
    </row>
    <row r="621" spans="1:61" ht="15" customHeight="1">
      <c r="A621" s="138"/>
      <c r="B621" s="300"/>
      <c r="C621" s="284" t="str">
        <f>IF(Tool!$H$7="Français",G621,IF(Tool!$H$7="Italiano",I621,E621))</f>
        <v>SIA 2040:2017 «SIA Effizienzpfad Energie»</v>
      </c>
      <c r="D621" s="300"/>
      <c r="E621" s="284" t="s">
        <v>1423</v>
      </c>
      <c r="F621" s="300"/>
      <c r="G621" s="284" t="s">
        <v>1424</v>
      </c>
      <c r="H621" s="300"/>
      <c r="I621" s="284" t="s">
        <v>1425</v>
      </c>
      <c r="J621" s="316"/>
      <c r="K621" s="138"/>
      <c r="L621" s="138"/>
      <c r="M621" s="138"/>
      <c r="N621" s="138"/>
      <c r="O621" s="138"/>
      <c r="P621" s="138"/>
      <c r="Q621" s="138"/>
      <c r="R621" s="138"/>
      <c r="S621" s="138"/>
      <c r="T621" s="138"/>
      <c r="U621" s="138"/>
      <c r="V621" s="138"/>
      <c r="W621" s="138"/>
      <c r="X621" s="138"/>
      <c r="Y621" s="138"/>
      <c r="Z621" s="138"/>
      <c r="AA621" s="138"/>
      <c r="AB621" s="138"/>
      <c r="AC621" s="138"/>
      <c r="AD621" s="138"/>
      <c r="AE621" s="311"/>
      <c r="AF621" s="138"/>
      <c r="AG621" s="138"/>
      <c r="AH621" s="138"/>
      <c r="AI621" s="138"/>
      <c r="AJ621" s="138"/>
      <c r="AK621" s="138"/>
      <c r="AL621" s="138"/>
      <c r="AM621" s="138"/>
      <c r="AN621" s="138"/>
      <c r="AO621" s="138"/>
      <c r="AP621" s="138"/>
      <c r="AQ621" s="138"/>
      <c r="AR621" s="138"/>
      <c r="AS621" s="138"/>
      <c r="AT621" s="138"/>
      <c r="AU621" s="138"/>
      <c r="AV621" s="138"/>
      <c r="AW621" s="138"/>
      <c r="AX621" s="138"/>
      <c r="AY621" s="138"/>
      <c r="BB621" s="138"/>
      <c r="BC621" s="138"/>
      <c r="BD621" s="138"/>
      <c r="BE621" s="138"/>
      <c r="BF621" s="138"/>
      <c r="BG621" s="138"/>
      <c r="BH621" s="138"/>
      <c r="BI621" s="138"/>
    </row>
    <row r="622" spans="1:61" ht="15" customHeight="1">
      <c r="A622" s="138"/>
      <c r="B622" s="300"/>
      <c r="C622" s="284" t="str">
        <f>IF(Tool!$H$7="Français",G622,IF(Tool!$H$7="Italiano",I622,E622))</f>
        <v>SIA 2040:2017 «SIA Effizienzpfad Energie»
Tool zum Merkblatt SIA 2039:2016 «Mobilität – Energiebedarf in Abhängigkeit vom Gebäudestandort»</v>
      </c>
      <c r="D622" s="300"/>
      <c r="E622" s="284" t="s">
        <v>1429</v>
      </c>
      <c r="F622" s="300"/>
      <c r="G622" s="284" t="s">
        <v>1428</v>
      </c>
      <c r="H622" s="300"/>
      <c r="I622" s="284" t="s">
        <v>1427</v>
      </c>
      <c r="J622" s="316"/>
      <c r="K622" s="138"/>
      <c r="L622" s="138"/>
      <c r="M622" s="138"/>
      <c r="N622" s="138"/>
      <c r="O622" s="138"/>
      <c r="P622" s="138"/>
      <c r="Q622" s="138"/>
      <c r="R622" s="138"/>
      <c r="S622" s="138"/>
      <c r="T622" s="138"/>
      <c r="U622" s="138"/>
      <c r="V622" s="138"/>
      <c r="W622" s="138"/>
      <c r="X622" s="138"/>
      <c r="Y622" s="138"/>
      <c r="Z622" s="138"/>
      <c r="AA622" s="138"/>
      <c r="AB622" s="138"/>
      <c r="AC622" s="138"/>
      <c r="AD622" s="138"/>
      <c r="AE622" s="311"/>
      <c r="AF622" s="138"/>
      <c r="AG622" s="138"/>
      <c r="AH622" s="138"/>
      <c r="AI622" s="138"/>
      <c r="AJ622" s="138"/>
      <c r="AK622" s="138"/>
      <c r="AL622" s="138"/>
      <c r="AM622" s="138"/>
      <c r="AN622" s="138"/>
      <c r="AO622" s="138"/>
      <c r="AP622" s="138"/>
      <c r="AQ622" s="138"/>
      <c r="AR622" s="138"/>
      <c r="AS622" s="138"/>
      <c r="AT622" s="138"/>
      <c r="AU622" s="138"/>
      <c r="AV622" s="138"/>
      <c r="AW622" s="138"/>
      <c r="AX622" s="138"/>
      <c r="AY622" s="138"/>
      <c r="BB622" s="138"/>
      <c r="BC622" s="138"/>
      <c r="BD622" s="138"/>
      <c r="BE622" s="138"/>
      <c r="BF622" s="138"/>
      <c r="BG622" s="138"/>
      <c r="BH622" s="138"/>
      <c r="BI622" s="138"/>
    </row>
    <row r="623" spans="1:61" ht="15" customHeight="1">
      <c r="A623" s="138"/>
      <c r="B623" s="300"/>
      <c r="C623" s="284" t="str">
        <f>IF(Tool!$H$7="Français",G623,IF(Tool!$H$7="Italiano",I623,E623))</f>
        <v>SIA 431:2022 «Entwässerung von Baustellen»</v>
      </c>
      <c r="D623" s="300"/>
      <c r="E623" s="284" t="s">
        <v>1430</v>
      </c>
      <c r="F623" s="300"/>
      <c r="G623" s="284" t="s">
        <v>1432</v>
      </c>
      <c r="H623" s="300"/>
      <c r="I623" s="284" t="s">
        <v>1431</v>
      </c>
      <c r="J623" s="316"/>
      <c r="K623" s="138"/>
      <c r="L623" s="138"/>
      <c r="M623" s="138"/>
      <c r="N623" s="138"/>
      <c r="O623" s="138"/>
      <c r="P623" s="138"/>
      <c r="Q623" s="138"/>
      <c r="R623" s="138"/>
      <c r="S623" s="138"/>
      <c r="T623" s="138"/>
      <c r="U623" s="138"/>
      <c r="V623" s="138"/>
      <c r="W623" s="138"/>
      <c r="X623" s="138"/>
      <c r="Y623" s="138"/>
      <c r="Z623" s="138"/>
      <c r="AA623" s="138"/>
      <c r="AB623" s="138"/>
      <c r="AC623" s="138"/>
      <c r="AD623" s="138"/>
      <c r="AE623" s="311"/>
      <c r="AF623" s="138"/>
      <c r="AG623" s="138"/>
      <c r="AH623" s="138"/>
      <c r="AI623" s="138"/>
      <c r="AJ623" s="138"/>
      <c r="AK623" s="138"/>
      <c r="AL623" s="138"/>
      <c r="AM623" s="138"/>
      <c r="AN623" s="138"/>
      <c r="AO623" s="138"/>
      <c r="AP623" s="138"/>
      <c r="AQ623" s="138"/>
      <c r="AR623" s="138"/>
      <c r="AS623" s="138"/>
      <c r="AT623" s="138"/>
      <c r="AU623" s="138"/>
      <c r="AV623" s="138"/>
      <c r="AW623" s="138"/>
      <c r="AX623" s="138"/>
      <c r="AY623" s="138"/>
      <c r="BB623" s="138"/>
      <c r="BC623" s="138"/>
      <c r="BD623" s="138"/>
      <c r="BE623" s="138"/>
      <c r="BF623" s="138"/>
      <c r="BG623" s="138"/>
      <c r="BH623" s="138"/>
      <c r="BI623" s="138"/>
    </row>
    <row r="624" spans="1:61" ht="15" customHeight="1">
      <c r="A624" s="138"/>
      <c r="B624" s="301"/>
      <c r="C624" s="876" t="str">
        <f>IF(Tool!$H$7="Français",G624,IF(Tool!$H$7="Italiano",I624,E624))</f>
        <v>SIA 2048:2015 «Energetische Betriebsoptimierung»</v>
      </c>
      <c r="D624" s="301"/>
      <c r="E624" s="876" t="s">
        <v>1433</v>
      </c>
      <c r="F624" s="301"/>
      <c r="G624" s="876" t="s">
        <v>1434</v>
      </c>
      <c r="H624" s="301"/>
      <c r="I624" s="876" t="s">
        <v>1435</v>
      </c>
      <c r="J624" s="316"/>
      <c r="K624" s="138"/>
      <c r="L624" s="138"/>
      <c r="M624" s="138"/>
      <c r="N624" s="138"/>
      <c r="O624" s="138"/>
      <c r="P624" s="138"/>
      <c r="Q624" s="138"/>
      <c r="R624" s="138"/>
      <c r="S624" s="138"/>
      <c r="T624" s="138"/>
      <c r="U624" s="138"/>
      <c r="V624" s="138"/>
      <c r="W624" s="138"/>
      <c r="X624" s="138"/>
      <c r="Y624" s="138"/>
      <c r="Z624" s="138"/>
      <c r="AA624" s="138"/>
      <c r="AB624" s="138"/>
      <c r="AC624" s="138"/>
      <c r="AD624" s="138"/>
      <c r="AE624" s="311"/>
      <c r="AF624" s="138"/>
      <c r="AG624" s="138"/>
      <c r="AH624" s="138"/>
      <c r="AI624" s="138"/>
      <c r="AJ624" s="138"/>
      <c r="AK624" s="138"/>
      <c r="AL624" s="138"/>
      <c r="AM624" s="138"/>
      <c r="AN624" s="138"/>
      <c r="AO624" s="138"/>
      <c r="AP624" s="138"/>
      <c r="AQ624" s="138"/>
      <c r="AR624" s="138"/>
      <c r="AS624" s="138"/>
      <c r="AT624" s="138"/>
      <c r="AU624" s="138"/>
      <c r="AV624" s="138"/>
      <c r="AW624" s="138"/>
      <c r="AX624" s="138"/>
      <c r="AY624" s="138"/>
      <c r="BB624" s="138"/>
      <c r="BC624" s="138"/>
      <c r="BD624" s="138"/>
      <c r="BE624" s="138"/>
      <c r="BF624" s="138"/>
      <c r="BG624" s="138"/>
      <c r="BH624" s="138"/>
      <c r="BI624" s="138"/>
    </row>
    <row r="625" spans="1:61" ht="15" customHeight="1">
      <c r="A625" s="138"/>
      <c r="B625" s="300"/>
      <c r="C625" s="284"/>
      <c r="D625" s="300"/>
      <c r="E625" s="284"/>
      <c r="F625" s="300"/>
      <c r="G625" s="284"/>
      <c r="H625" s="300"/>
      <c r="I625" s="284"/>
      <c r="J625" s="316"/>
      <c r="K625" s="138"/>
      <c r="L625" s="138"/>
      <c r="M625" s="138"/>
      <c r="N625" s="138"/>
      <c r="O625" s="138"/>
      <c r="P625" s="138"/>
      <c r="Q625" s="138"/>
      <c r="R625" s="138"/>
      <c r="S625" s="138"/>
      <c r="T625" s="138"/>
      <c r="U625" s="138"/>
      <c r="V625" s="138"/>
      <c r="W625" s="138"/>
      <c r="X625" s="138"/>
      <c r="Y625" s="138"/>
      <c r="Z625" s="138"/>
      <c r="AA625" s="138"/>
      <c r="AB625" s="138"/>
      <c r="AC625" s="138"/>
      <c r="AD625" s="138"/>
      <c r="AE625" s="311"/>
      <c r="AF625" s="138"/>
      <c r="AG625" s="138"/>
      <c r="AH625" s="138"/>
      <c r="AI625" s="138"/>
      <c r="AJ625" s="138"/>
      <c r="AK625" s="138"/>
      <c r="AL625" s="138"/>
      <c r="AM625" s="138"/>
      <c r="AN625" s="138"/>
      <c r="AO625" s="138"/>
      <c r="AP625" s="138"/>
      <c r="AQ625" s="138"/>
      <c r="AR625" s="138"/>
      <c r="AS625" s="138"/>
      <c r="AT625" s="138"/>
      <c r="AU625" s="138"/>
      <c r="AV625" s="138"/>
      <c r="AW625" s="138"/>
      <c r="AX625" s="138"/>
      <c r="AY625" s="138"/>
      <c r="BB625" s="138"/>
      <c r="BC625" s="138"/>
      <c r="BD625" s="138"/>
      <c r="BE625" s="138"/>
      <c r="BF625" s="138"/>
      <c r="BG625" s="138"/>
      <c r="BH625" s="138"/>
      <c r="BI625" s="138"/>
    </row>
    <row r="626" spans="1:61" ht="15" customHeight="1">
      <c r="A626" s="138"/>
      <c r="B626" s="300"/>
      <c r="C626" s="284" t="str">
        <f>IF(Tool!$H$7="Français",G626,IF(Tool!$H$7="Italiano",I626,E626))</f>
        <v>FM-gerechte Bauplanung und Realisierung</v>
      </c>
      <c r="D626" s="300"/>
      <c r="E626" s="284" t="s">
        <v>1219</v>
      </c>
      <c r="F626" s="300"/>
      <c r="G626" s="284" t="s">
        <v>1221</v>
      </c>
      <c r="H626" s="300"/>
      <c r="I626" s="284" t="s">
        <v>1220</v>
      </c>
      <c r="J626" s="316"/>
      <c r="K626" s="138"/>
      <c r="L626" s="138"/>
      <c r="M626" s="138"/>
      <c r="N626" s="138"/>
      <c r="O626" s="138"/>
      <c r="P626" s="138"/>
      <c r="Q626" s="138"/>
      <c r="R626" s="138"/>
      <c r="S626" s="138"/>
      <c r="T626" s="138"/>
      <c r="U626" s="138"/>
      <c r="V626" s="138"/>
      <c r="W626" s="138"/>
      <c r="X626" s="138"/>
      <c r="Y626" s="138"/>
      <c r="Z626" s="138"/>
      <c r="AA626" s="138"/>
      <c r="AB626" s="138"/>
      <c r="AC626" s="138"/>
      <c r="AD626" s="138"/>
      <c r="AE626" s="311"/>
      <c r="AF626" s="138"/>
      <c r="AG626" s="138"/>
      <c r="AH626" s="138"/>
      <c r="AI626" s="138"/>
      <c r="AJ626" s="138"/>
      <c r="AK626" s="138"/>
      <c r="AL626" s="138"/>
      <c r="AM626" s="138"/>
      <c r="AN626" s="138"/>
      <c r="AO626" s="138"/>
      <c r="AP626" s="138"/>
      <c r="AQ626" s="138"/>
      <c r="AR626" s="138"/>
      <c r="AS626" s="138"/>
      <c r="AT626" s="138"/>
      <c r="AU626" s="138"/>
      <c r="AV626" s="138"/>
      <c r="AW626" s="138"/>
      <c r="AX626" s="138"/>
      <c r="AY626" s="138"/>
      <c r="BB626" s="138"/>
      <c r="BC626" s="138"/>
      <c r="BD626" s="138"/>
      <c r="BE626" s="138"/>
      <c r="BF626" s="138"/>
      <c r="BG626" s="138"/>
      <c r="BH626" s="138"/>
      <c r="BI626" s="138"/>
    </row>
    <row r="627" spans="1:61" ht="15" customHeight="1">
      <c r="A627" s="138"/>
      <c r="B627" s="300"/>
      <c r="C627" s="284" t="str">
        <f>IF(Tool!$H$7="Français",G627,IF(Tool!$H$7="Italiano",I627,E627))</f>
        <v xml:space="preserve">SIA 113:2010 </v>
      </c>
      <c r="D627" s="300"/>
      <c r="E627" s="284" t="s">
        <v>1455</v>
      </c>
      <c r="F627" s="300"/>
      <c r="G627" s="284" t="s">
        <v>1505</v>
      </c>
      <c r="H627" s="300"/>
      <c r="I627" s="284" t="s">
        <v>1505</v>
      </c>
      <c r="J627" s="316"/>
      <c r="K627" s="138"/>
      <c r="L627" s="138"/>
      <c r="M627" s="138"/>
      <c r="N627" s="138"/>
      <c r="O627" s="138"/>
      <c r="P627" s="138"/>
      <c r="Q627" s="138"/>
      <c r="R627" s="138"/>
      <c r="S627" s="138"/>
      <c r="T627" s="138"/>
      <c r="U627" s="138"/>
      <c r="V627" s="138"/>
      <c r="W627" s="138"/>
      <c r="X627" s="138"/>
      <c r="Y627" s="138"/>
      <c r="Z627" s="138"/>
      <c r="AA627" s="138"/>
      <c r="AB627" s="138"/>
      <c r="AC627" s="138"/>
      <c r="AD627" s="138"/>
      <c r="AE627" s="311"/>
      <c r="AF627" s="138"/>
      <c r="AG627" s="138"/>
      <c r="AH627" s="138"/>
      <c r="AI627" s="138"/>
      <c r="AJ627" s="138"/>
      <c r="AK627" s="138"/>
      <c r="AL627" s="138"/>
      <c r="AM627" s="138"/>
      <c r="AN627" s="138"/>
      <c r="AO627" s="138"/>
      <c r="AP627" s="138"/>
      <c r="AQ627" s="138"/>
      <c r="AR627" s="138"/>
      <c r="AS627" s="138"/>
      <c r="AT627" s="138"/>
      <c r="AU627" s="138"/>
      <c r="AV627" s="138"/>
      <c r="AW627" s="138"/>
      <c r="AX627" s="138"/>
      <c r="AY627" s="138"/>
      <c r="BB627" s="138"/>
      <c r="BC627" s="138"/>
      <c r="BD627" s="138"/>
      <c r="BE627" s="138"/>
      <c r="BF627" s="138"/>
      <c r="BG627" s="138"/>
      <c r="BH627" s="138"/>
      <c r="BI627" s="138"/>
    </row>
    <row r="628" spans="1:61" ht="15" customHeight="1">
      <c r="A628" s="138"/>
      <c r="B628" s="300"/>
      <c r="C628" s="284" t="str">
        <f>IF(Tool!$H$7="Français",G628,IF(Tool!$H$7="Italiano",I628,E628))</f>
        <v>Ordnung für Architektur- und Ingenieurwettbewerbe</v>
      </c>
      <c r="D628" s="300"/>
      <c r="E628" s="284" t="s">
        <v>1446</v>
      </c>
      <c r="F628" s="300"/>
      <c r="G628" s="284" t="s">
        <v>1495</v>
      </c>
      <c r="H628" s="300"/>
      <c r="I628" s="284" t="s">
        <v>1498</v>
      </c>
      <c r="J628" s="316"/>
      <c r="K628" s="138"/>
      <c r="L628" s="138"/>
      <c r="M628" s="138"/>
      <c r="N628" s="138"/>
      <c r="O628" s="138"/>
      <c r="P628" s="138"/>
      <c r="Q628" s="138"/>
      <c r="R628" s="138"/>
      <c r="S628" s="138"/>
      <c r="T628" s="138"/>
      <c r="U628" s="138"/>
      <c r="V628" s="138"/>
      <c r="W628" s="138"/>
      <c r="X628" s="138"/>
      <c r="Y628" s="138"/>
      <c r="Z628" s="138"/>
      <c r="AA628" s="138"/>
      <c r="AB628" s="138"/>
      <c r="AC628" s="138"/>
      <c r="AD628" s="138"/>
      <c r="AE628" s="311"/>
      <c r="AF628" s="138"/>
      <c r="AG628" s="138"/>
      <c r="AH628" s="138"/>
      <c r="AI628" s="138"/>
      <c r="AJ628" s="138"/>
      <c r="AK628" s="138"/>
      <c r="AL628" s="138"/>
      <c r="AM628" s="138"/>
      <c r="AN628" s="138"/>
      <c r="AO628" s="138"/>
      <c r="AP628" s="138"/>
      <c r="AQ628" s="138"/>
      <c r="AR628" s="138"/>
      <c r="AS628" s="138"/>
      <c r="AT628" s="138"/>
      <c r="AU628" s="138"/>
      <c r="AV628" s="138"/>
      <c r="AW628" s="138"/>
      <c r="AX628" s="138"/>
      <c r="AY628" s="138"/>
      <c r="BB628" s="138"/>
      <c r="BC628" s="138"/>
      <c r="BD628" s="138"/>
      <c r="BE628" s="138"/>
      <c r="BF628" s="138"/>
      <c r="BG628" s="138"/>
      <c r="BH628" s="138"/>
      <c r="BI628" s="138"/>
    </row>
    <row r="629" spans="1:61" ht="15" customHeight="1">
      <c r="A629" s="138"/>
      <c r="B629" s="300"/>
      <c r="C629" s="284" t="str">
        <f>IF(Tool!$H$7="Français",G629,IF(Tool!$H$7="Italiano",I629,E629))</f>
        <v>SIA 142:2009</v>
      </c>
      <c r="D629" s="300"/>
      <c r="E629" s="284" t="s">
        <v>1447</v>
      </c>
      <c r="F629" s="300"/>
      <c r="G629" s="284" t="s">
        <v>1447</v>
      </c>
      <c r="H629" s="300"/>
      <c r="I629" s="284" t="s">
        <v>1447</v>
      </c>
      <c r="J629" s="316"/>
      <c r="K629" s="138"/>
      <c r="L629" s="138"/>
      <c r="M629" s="138"/>
      <c r="N629" s="138"/>
      <c r="O629" s="138"/>
      <c r="P629" s="138"/>
      <c r="Q629" s="138"/>
      <c r="R629" s="138"/>
      <c r="S629" s="138"/>
      <c r="T629" s="138"/>
      <c r="U629" s="138"/>
      <c r="V629" s="138"/>
      <c r="W629" s="138"/>
      <c r="X629" s="138"/>
      <c r="Y629" s="138"/>
      <c r="Z629" s="138"/>
      <c r="AA629" s="138"/>
      <c r="AB629" s="138"/>
      <c r="AC629" s="138"/>
      <c r="AD629" s="138"/>
      <c r="AE629" s="311"/>
      <c r="AF629" s="138"/>
      <c r="AG629" s="138"/>
      <c r="AH629" s="138"/>
      <c r="AI629" s="138"/>
      <c r="AJ629" s="138"/>
      <c r="AK629" s="138"/>
      <c r="AL629" s="138"/>
      <c r="AM629" s="138"/>
      <c r="AN629" s="138"/>
      <c r="AO629" s="138"/>
      <c r="AP629" s="138"/>
      <c r="AQ629" s="138"/>
      <c r="AR629" s="138"/>
      <c r="AS629" s="138"/>
      <c r="AT629" s="138"/>
      <c r="AU629" s="138"/>
      <c r="AV629" s="138"/>
      <c r="AW629" s="138"/>
      <c r="AX629" s="138"/>
      <c r="AY629" s="138"/>
      <c r="BB629" s="138"/>
      <c r="BC629" s="138"/>
      <c r="BD629" s="138"/>
      <c r="BE629" s="138"/>
      <c r="BF629" s="138"/>
      <c r="BG629" s="138"/>
      <c r="BH629" s="138"/>
      <c r="BI629" s="138"/>
    </row>
    <row r="630" spans="1:61" ht="15" customHeight="1">
      <c r="A630" s="138"/>
      <c r="B630" s="300"/>
      <c r="C630" s="284" t="str">
        <f>IF(Tool!$H$7="Français",G630,IF(Tool!$H$7="Italiano",I630,E630))</f>
        <v>Ordnung für Architektur- und Ingenieurstudienaufträge</v>
      </c>
      <c r="D630" s="300"/>
      <c r="E630" s="284" t="s">
        <v>1445</v>
      </c>
      <c r="F630" s="300"/>
      <c r="G630" s="284" t="s">
        <v>1496</v>
      </c>
      <c r="H630" s="300"/>
      <c r="I630" s="284" t="s">
        <v>1499</v>
      </c>
      <c r="J630" s="316"/>
      <c r="K630" s="138"/>
      <c r="L630" s="138"/>
      <c r="M630" s="138"/>
      <c r="N630" s="138"/>
      <c r="O630" s="138"/>
      <c r="P630" s="138"/>
      <c r="Q630" s="138"/>
      <c r="R630" s="138"/>
      <c r="S630" s="138"/>
      <c r="T630" s="138"/>
      <c r="U630" s="138"/>
      <c r="V630" s="138"/>
      <c r="W630" s="138"/>
      <c r="X630" s="138"/>
      <c r="Y630" s="138"/>
      <c r="Z630" s="138"/>
      <c r="AA630" s="138"/>
      <c r="AB630" s="138"/>
      <c r="AC630" s="138"/>
      <c r="AD630" s="138"/>
      <c r="AE630" s="311"/>
      <c r="AF630" s="138"/>
      <c r="AG630" s="138"/>
      <c r="AH630" s="138"/>
      <c r="AI630" s="138"/>
      <c r="AJ630" s="138"/>
      <c r="AK630" s="138"/>
      <c r="AL630" s="138"/>
      <c r="AM630" s="138"/>
      <c r="AN630" s="138"/>
      <c r="AO630" s="138"/>
      <c r="AP630" s="138"/>
      <c r="AQ630" s="138"/>
      <c r="AR630" s="138"/>
      <c r="AS630" s="138"/>
      <c r="AT630" s="138"/>
      <c r="AU630" s="138"/>
      <c r="AV630" s="138"/>
      <c r="AW630" s="138"/>
      <c r="AX630" s="138"/>
      <c r="AY630" s="138"/>
      <c r="BB630" s="138"/>
      <c r="BC630" s="138"/>
      <c r="BD630" s="138"/>
      <c r="BE630" s="138"/>
      <c r="BF630" s="138"/>
      <c r="BG630" s="138"/>
      <c r="BH630" s="138"/>
      <c r="BI630" s="138"/>
    </row>
    <row r="631" spans="1:61" ht="15" customHeight="1">
      <c r="A631" s="138"/>
      <c r="B631" s="300"/>
      <c r="C631" s="284" t="str">
        <f>IF(Tool!$H$7="Français",G631,IF(Tool!$H$7="Italiano",I631,E631))</f>
        <v>SIA 143:2009</v>
      </c>
      <c r="D631" s="300"/>
      <c r="E631" s="284" t="s">
        <v>1448</v>
      </c>
      <c r="F631" s="300"/>
      <c r="G631" s="284" t="s">
        <v>1448</v>
      </c>
      <c r="H631" s="300"/>
      <c r="I631" s="284" t="s">
        <v>1448</v>
      </c>
      <c r="J631" s="316"/>
      <c r="K631" s="138"/>
      <c r="L631" s="138"/>
      <c r="M631" s="138"/>
      <c r="N631" s="138"/>
      <c r="O631" s="138"/>
      <c r="P631" s="138"/>
      <c r="Q631" s="138"/>
      <c r="R631" s="138"/>
      <c r="S631" s="138"/>
      <c r="T631" s="138"/>
      <c r="U631" s="138"/>
      <c r="V631" s="138"/>
      <c r="W631" s="138"/>
      <c r="X631" s="138"/>
      <c r="Y631" s="138"/>
      <c r="Z631" s="138"/>
      <c r="AA631" s="138"/>
      <c r="AB631" s="138"/>
      <c r="AC631" s="138"/>
      <c r="AD631" s="138"/>
      <c r="AE631" s="311"/>
      <c r="AF631" s="138"/>
      <c r="AG631" s="138"/>
      <c r="AH631" s="138"/>
      <c r="AI631" s="138"/>
      <c r="AJ631" s="138"/>
      <c r="AK631" s="138"/>
      <c r="AL631" s="138"/>
      <c r="AM631" s="138"/>
      <c r="AN631" s="138"/>
      <c r="AO631" s="138"/>
      <c r="AP631" s="138"/>
      <c r="AQ631" s="138"/>
      <c r="AR631" s="138"/>
      <c r="AS631" s="138"/>
      <c r="AT631" s="138"/>
      <c r="AU631" s="138"/>
      <c r="AV631" s="138"/>
      <c r="AW631" s="138"/>
      <c r="AX631" s="138"/>
      <c r="AY631" s="138"/>
      <c r="BB631" s="138"/>
      <c r="BC631" s="138"/>
      <c r="BD631" s="138"/>
      <c r="BE631" s="138"/>
      <c r="BF631" s="138"/>
      <c r="BG631" s="138"/>
      <c r="BH631" s="138"/>
      <c r="BI631" s="138"/>
    </row>
    <row r="632" spans="1:61" ht="15" customHeight="1">
      <c r="A632" s="138"/>
      <c r="B632" s="300"/>
      <c r="C632" s="284" t="str">
        <f>IF(Tool!$H$7="Français",G632,IF(Tool!$H$7="Italiano",I632,E632))</f>
        <v>Ordnung für Ingenieur- und Architekturleistungsofferten</v>
      </c>
      <c r="D632" s="300"/>
      <c r="E632" s="284" t="s">
        <v>1449</v>
      </c>
      <c r="F632" s="300"/>
      <c r="G632" s="284" t="s">
        <v>1497</v>
      </c>
      <c r="H632" s="300"/>
      <c r="I632" s="284" t="s">
        <v>1500</v>
      </c>
      <c r="J632" s="316"/>
      <c r="K632" s="138"/>
      <c r="L632" s="138"/>
      <c r="M632" s="138"/>
      <c r="N632" s="138"/>
      <c r="O632" s="138"/>
      <c r="P632" s="138"/>
      <c r="Q632" s="138"/>
      <c r="R632" s="138"/>
      <c r="S632" s="138"/>
      <c r="T632" s="138"/>
      <c r="U632" s="138"/>
      <c r="V632" s="138"/>
      <c r="W632" s="138"/>
      <c r="X632" s="138"/>
      <c r="Y632" s="138"/>
      <c r="Z632" s="138"/>
      <c r="AA632" s="138"/>
      <c r="AB632" s="138"/>
      <c r="AC632" s="138"/>
      <c r="AD632" s="138"/>
      <c r="AE632" s="311"/>
      <c r="AF632" s="138"/>
      <c r="AG632" s="138"/>
      <c r="AH632" s="138"/>
      <c r="AI632" s="138"/>
      <c r="AJ632" s="138"/>
      <c r="AK632" s="138"/>
      <c r="AL632" s="138"/>
      <c r="AM632" s="138"/>
      <c r="AN632" s="138"/>
      <c r="AO632" s="138"/>
      <c r="AP632" s="138"/>
      <c r="AQ632" s="138"/>
      <c r="AR632" s="138"/>
      <c r="AS632" s="138"/>
      <c r="AT632" s="138"/>
      <c r="AU632" s="138"/>
      <c r="AV632" s="138"/>
      <c r="AW632" s="138"/>
      <c r="AX632" s="138"/>
      <c r="AY632" s="138"/>
      <c r="BB632" s="138"/>
      <c r="BC632" s="138"/>
      <c r="BD632" s="138"/>
      <c r="BE632" s="138"/>
      <c r="BF632" s="138"/>
      <c r="BG632" s="138"/>
      <c r="BH632" s="138"/>
      <c r="BI632" s="138"/>
    </row>
    <row r="633" spans="1:61" ht="15" customHeight="1">
      <c r="A633" s="138"/>
      <c r="B633" s="300"/>
      <c r="C633" s="284" t="str">
        <f>IF(Tool!$H$7="Français",G633,IF(Tool!$H$7="Italiano",I633,E633))</f>
        <v>SIA 144:2013</v>
      </c>
      <c r="D633" s="300"/>
      <c r="E633" s="284" t="s">
        <v>1450</v>
      </c>
      <c r="F633" s="300"/>
      <c r="G633" s="284" t="s">
        <v>1450</v>
      </c>
      <c r="H633" s="300"/>
      <c r="I633" s="284" t="s">
        <v>1450</v>
      </c>
      <c r="J633" s="316"/>
      <c r="K633" s="138"/>
      <c r="L633" s="138"/>
      <c r="M633" s="138"/>
      <c r="N633" s="138"/>
      <c r="O633" s="138"/>
      <c r="P633" s="138"/>
      <c r="Q633" s="138"/>
      <c r="R633" s="138"/>
      <c r="S633" s="138"/>
      <c r="T633" s="138"/>
      <c r="U633" s="138"/>
      <c r="V633" s="138"/>
      <c r="W633" s="138"/>
      <c r="X633" s="138"/>
      <c r="Y633" s="138"/>
      <c r="Z633" s="138"/>
      <c r="AA633" s="138"/>
      <c r="AB633" s="138"/>
      <c r="AC633" s="138"/>
      <c r="AD633" s="138"/>
      <c r="AE633" s="311"/>
      <c r="AF633" s="138"/>
      <c r="AG633" s="138"/>
      <c r="AH633" s="138"/>
      <c r="AI633" s="138"/>
      <c r="AJ633" s="138"/>
      <c r="AK633" s="138"/>
      <c r="AL633" s="138"/>
      <c r="AM633" s="138"/>
      <c r="AN633" s="138"/>
      <c r="AO633" s="138"/>
      <c r="AP633" s="138"/>
      <c r="AQ633" s="138"/>
      <c r="AR633" s="138"/>
      <c r="AS633" s="138"/>
      <c r="AT633" s="138"/>
      <c r="AU633" s="138"/>
      <c r="AV633" s="138"/>
      <c r="AW633" s="138"/>
      <c r="AX633" s="138"/>
      <c r="AY633" s="138"/>
      <c r="BB633" s="138"/>
      <c r="BC633" s="138"/>
      <c r="BD633" s="138"/>
      <c r="BE633" s="138"/>
      <c r="BF633" s="138"/>
      <c r="BG633" s="138"/>
      <c r="BH633" s="138"/>
      <c r="BI633" s="138"/>
    </row>
    <row r="634" spans="1:61" ht="15" customHeight="1">
      <c r="A634" s="138"/>
      <c r="B634" s="300"/>
      <c r="C634" s="284" t="str">
        <f>IF(Tool!$H$7="Français",G634,IF(Tool!$H$7="Italiano",I634,E634))</f>
        <v>Wärmeschutz, Feuchteschutz und Raumklima in Gebäuden</v>
      </c>
      <c r="D634" s="300"/>
      <c r="E634" s="284" t="s">
        <v>177</v>
      </c>
      <c r="F634" s="300"/>
      <c r="G634" s="284" t="s">
        <v>251</v>
      </c>
      <c r="H634" s="300"/>
      <c r="I634" s="284" t="s">
        <v>1191</v>
      </c>
      <c r="J634" s="316"/>
      <c r="K634" s="138"/>
      <c r="L634" s="138"/>
      <c r="M634" s="138"/>
      <c r="N634" s="138"/>
      <c r="O634" s="138"/>
      <c r="P634" s="138"/>
      <c r="Q634" s="138"/>
      <c r="R634" s="138"/>
      <c r="S634" s="138"/>
      <c r="T634" s="138"/>
      <c r="U634" s="138"/>
      <c r="V634" s="138"/>
      <c r="W634" s="138"/>
      <c r="X634" s="138"/>
      <c r="Y634" s="138"/>
      <c r="Z634" s="138"/>
      <c r="AA634" s="138"/>
      <c r="AB634" s="138"/>
      <c r="AC634" s="138"/>
      <c r="AD634" s="138"/>
      <c r="AE634" s="311"/>
      <c r="AF634" s="138"/>
      <c r="AG634" s="138"/>
      <c r="AH634" s="138"/>
      <c r="AI634" s="138"/>
      <c r="AJ634" s="138"/>
      <c r="AK634" s="138"/>
      <c r="AL634" s="138"/>
      <c r="AM634" s="138"/>
      <c r="AN634" s="138"/>
      <c r="AO634" s="138"/>
      <c r="AP634" s="138"/>
      <c r="AQ634" s="138"/>
      <c r="AR634" s="138"/>
      <c r="AS634" s="138"/>
      <c r="AT634" s="138"/>
      <c r="AU634" s="138"/>
      <c r="AV634" s="138"/>
      <c r="AW634" s="138"/>
      <c r="AX634" s="138"/>
      <c r="AY634" s="138"/>
      <c r="BB634" s="138"/>
      <c r="BC634" s="138"/>
      <c r="BD634" s="138"/>
      <c r="BE634" s="138"/>
      <c r="BF634" s="138"/>
      <c r="BG634" s="138"/>
      <c r="BH634" s="138"/>
      <c r="BI634" s="138"/>
    </row>
    <row r="635" spans="1:61" ht="15" customHeight="1">
      <c r="A635" s="138"/>
      <c r="B635" s="300"/>
      <c r="C635" s="284" t="str">
        <f>IF(Tool!$H$7="Français",G635,IF(Tool!$H$7="Italiano",I635,E635))</f>
        <v xml:space="preserve">SIA 180:2014 </v>
      </c>
      <c r="D635" s="300"/>
      <c r="E635" s="284" t="s">
        <v>1454</v>
      </c>
      <c r="F635" s="300"/>
      <c r="G635" s="284" t="s">
        <v>1501</v>
      </c>
      <c r="H635" s="300"/>
      <c r="I635" s="284" t="s">
        <v>1501</v>
      </c>
      <c r="J635" s="316"/>
      <c r="K635" s="138"/>
      <c r="L635" s="138"/>
      <c r="M635" s="138"/>
      <c r="N635" s="138"/>
      <c r="O635" s="138"/>
      <c r="P635" s="138"/>
      <c r="Q635" s="138"/>
      <c r="R635" s="138"/>
      <c r="S635" s="138"/>
      <c r="T635" s="138"/>
      <c r="U635" s="138"/>
      <c r="V635" s="138"/>
      <c r="W635" s="138"/>
      <c r="X635" s="138"/>
      <c r="Y635" s="138"/>
      <c r="Z635" s="138"/>
      <c r="AA635" s="138"/>
      <c r="AB635" s="138"/>
      <c r="AC635" s="138"/>
      <c r="AD635" s="138"/>
      <c r="AE635" s="311"/>
      <c r="AF635" s="138"/>
      <c r="AG635" s="138"/>
      <c r="AH635" s="138"/>
      <c r="AI635" s="138"/>
      <c r="AJ635" s="138"/>
      <c r="AK635" s="138"/>
      <c r="AL635" s="138"/>
      <c r="AM635" s="138"/>
      <c r="AN635" s="138"/>
      <c r="AO635" s="138"/>
      <c r="AP635" s="138"/>
      <c r="AQ635" s="138"/>
      <c r="AR635" s="138"/>
      <c r="AS635" s="138"/>
      <c r="AT635" s="138"/>
      <c r="AU635" s="138"/>
      <c r="AV635" s="138"/>
      <c r="AW635" s="138"/>
      <c r="AX635" s="138"/>
      <c r="AY635" s="138"/>
      <c r="BB635" s="138"/>
      <c r="BC635" s="138"/>
      <c r="BD635" s="138"/>
      <c r="BE635" s="138"/>
      <c r="BF635" s="138"/>
      <c r="BG635" s="138"/>
      <c r="BH635" s="138"/>
      <c r="BI635" s="138"/>
    </row>
    <row r="636" spans="1:61" ht="15" customHeight="1">
      <c r="A636" s="138"/>
      <c r="B636" s="300"/>
      <c r="C636" s="284" t="str">
        <f>IF(Tool!$H$7="Français",G636,IF(Tool!$H$7="Italiano",I636,E636))</f>
        <v>Schallschutz im Hochbau</v>
      </c>
      <c r="D636" s="300"/>
      <c r="E636" s="284" t="s">
        <v>174</v>
      </c>
      <c r="F636" s="300"/>
      <c r="G636" s="284" t="s">
        <v>253</v>
      </c>
      <c r="H636" s="300"/>
      <c r="I636" s="284" t="s">
        <v>1194</v>
      </c>
      <c r="J636" s="316"/>
      <c r="K636" s="138"/>
      <c r="L636" s="138"/>
      <c r="M636" s="138"/>
      <c r="N636" s="138"/>
      <c r="O636" s="138"/>
      <c r="P636" s="138"/>
      <c r="Q636" s="138"/>
      <c r="R636" s="138"/>
      <c r="S636" s="138"/>
      <c r="T636" s="138"/>
      <c r="U636" s="138"/>
      <c r="V636" s="138"/>
      <c r="W636" s="138"/>
      <c r="X636" s="138"/>
      <c r="Y636" s="138"/>
      <c r="Z636" s="138"/>
      <c r="AA636" s="138"/>
      <c r="AB636" s="138"/>
      <c r="AC636" s="138"/>
      <c r="AD636" s="138"/>
      <c r="AE636" s="311"/>
      <c r="AF636" s="138"/>
      <c r="AG636" s="138"/>
      <c r="AH636" s="138"/>
      <c r="AI636" s="138"/>
      <c r="AJ636" s="138"/>
      <c r="AK636" s="138"/>
      <c r="AL636" s="138"/>
      <c r="AM636" s="138"/>
      <c r="AN636" s="138"/>
      <c r="AO636" s="138"/>
      <c r="AP636" s="138"/>
      <c r="AQ636" s="138"/>
      <c r="AR636" s="138"/>
      <c r="AS636" s="138"/>
      <c r="AT636" s="138"/>
      <c r="AU636" s="138"/>
      <c r="AV636" s="138"/>
      <c r="AW636" s="138"/>
      <c r="AX636" s="138"/>
      <c r="AY636" s="138"/>
      <c r="BB636" s="138"/>
      <c r="BC636" s="138"/>
      <c r="BD636" s="138"/>
      <c r="BE636" s="138"/>
      <c r="BF636" s="138"/>
      <c r="BG636" s="138"/>
      <c r="BH636" s="138"/>
      <c r="BI636" s="138"/>
    </row>
    <row r="637" spans="1:61" ht="15" customHeight="1">
      <c r="A637" s="138"/>
      <c r="B637" s="300"/>
      <c r="C637" s="284" t="str">
        <f>IF(Tool!$H$7="Français",G637,IF(Tool!$H$7="Italiano",I637,E637))</f>
        <v>SIA 181:2006</v>
      </c>
      <c r="D637" s="300"/>
      <c r="E637" s="284" t="s">
        <v>1502</v>
      </c>
      <c r="F637" s="300"/>
      <c r="G637" s="284" t="s">
        <v>1502</v>
      </c>
      <c r="H637" s="300"/>
      <c r="I637" s="284" t="s">
        <v>1502</v>
      </c>
      <c r="J637" s="316"/>
      <c r="K637" s="138"/>
      <c r="L637" s="138"/>
      <c r="M637" s="138"/>
      <c r="N637" s="138"/>
      <c r="O637" s="138"/>
      <c r="P637" s="138"/>
      <c r="Q637" s="138"/>
      <c r="R637" s="138"/>
      <c r="S637" s="138"/>
      <c r="T637" s="138"/>
      <c r="U637" s="138"/>
      <c r="V637" s="138"/>
      <c r="W637" s="138"/>
      <c r="X637" s="138"/>
      <c r="Y637" s="138"/>
      <c r="Z637" s="138"/>
      <c r="AA637" s="138"/>
      <c r="AB637" s="138"/>
      <c r="AC637" s="138"/>
      <c r="AD637" s="138"/>
      <c r="AE637" s="311"/>
      <c r="AF637" s="138"/>
      <c r="AG637" s="138"/>
      <c r="AH637" s="138"/>
      <c r="AI637" s="138"/>
      <c r="AJ637" s="138"/>
      <c r="AK637" s="138"/>
      <c r="AL637" s="138"/>
      <c r="AM637" s="138"/>
      <c r="AN637" s="138"/>
      <c r="AO637" s="138"/>
      <c r="AP637" s="138"/>
      <c r="AQ637" s="138"/>
      <c r="AR637" s="138"/>
      <c r="AS637" s="138"/>
      <c r="AT637" s="138"/>
      <c r="AU637" s="138"/>
      <c r="AV637" s="138"/>
      <c r="AW637" s="138"/>
      <c r="AX637" s="138"/>
      <c r="AY637" s="138"/>
      <c r="BB637" s="138"/>
      <c r="BC637" s="138"/>
      <c r="BD637" s="138"/>
      <c r="BE637" s="138"/>
      <c r="BF637" s="138"/>
      <c r="BG637" s="138"/>
      <c r="BH637" s="138"/>
      <c r="BI637" s="138"/>
    </row>
    <row r="638" spans="1:61" ht="15" customHeight="1">
      <c r="A638" s="138"/>
      <c r="B638" s="300"/>
      <c r="C638" s="284" t="str">
        <f>IF(Tool!$H$7="Français",G638,IF(Tool!$H$7="Italiano",I638,E638))</f>
        <v>Schallschutz im Hochbau</v>
      </c>
      <c r="D638" s="300"/>
      <c r="E638" s="284" t="s">
        <v>174</v>
      </c>
      <c r="F638" s="300"/>
      <c r="G638" s="284" t="s">
        <v>253</v>
      </c>
      <c r="H638" s="300"/>
      <c r="I638" s="284" t="s">
        <v>1194</v>
      </c>
      <c r="J638" s="316"/>
      <c r="K638" s="138"/>
      <c r="L638" s="138"/>
      <c r="M638" s="138"/>
      <c r="N638" s="138"/>
      <c r="O638" s="138"/>
      <c r="P638" s="138"/>
      <c r="Q638" s="138"/>
      <c r="R638" s="138"/>
      <c r="S638" s="138"/>
      <c r="T638" s="138"/>
      <c r="U638" s="138"/>
      <c r="V638" s="138"/>
      <c r="W638" s="138"/>
      <c r="X638" s="138"/>
      <c r="Y638" s="138"/>
      <c r="Z638" s="138"/>
      <c r="AA638" s="138"/>
      <c r="AB638" s="138"/>
      <c r="AC638" s="138"/>
      <c r="AD638" s="138"/>
      <c r="AE638" s="311"/>
      <c r="AF638" s="138"/>
      <c r="AG638" s="138"/>
      <c r="AH638" s="138"/>
      <c r="AI638" s="138"/>
      <c r="AJ638" s="138"/>
      <c r="AK638" s="138"/>
      <c r="AL638" s="138"/>
      <c r="AM638" s="138"/>
      <c r="AN638" s="138"/>
      <c r="AO638" s="138"/>
      <c r="AP638" s="138"/>
      <c r="AQ638" s="138"/>
      <c r="AR638" s="138"/>
      <c r="AS638" s="138"/>
      <c r="AT638" s="138"/>
      <c r="AU638" s="138"/>
      <c r="AV638" s="138"/>
      <c r="AW638" s="138"/>
      <c r="AX638" s="138"/>
      <c r="AY638" s="138"/>
      <c r="BB638" s="138"/>
      <c r="BC638" s="138"/>
      <c r="BD638" s="138"/>
      <c r="BE638" s="138"/>
      <c r="BF638" s="138"/>
      <c r="BG638" s="138"/>
      <c r="BH638" s="138"/>
      <c r="BI638" s="138"/>
    </row>
    <row r="639" spans="1:61" ht="15" customHeight="1">
      <c r="A639" s="138"/>
      <c r="B639" s="300"/>
      <c r="C639" s="284" t="str">
        <f>IF(Tool!$H$7="Français",G639,IF(Tool!$H$7="Italiano",I639,E639))</f>
        <v>SIA 181:2020</v>
      </c>
      <c r="D639" s="300"/>
      <c r="E639" s="284" t="s">
        <v>1503</v>
      </c>
      <c r="F639" s="300"/>
      <c r="G639" s="284" t="s">
        <v>1503</v>
      </c>
      <c r="H639" s="300"/>
      <c r="I639" s="284" t="s">
        <v>1504</v>
      </c>
      <c r="J639" s="316"/>
      <c r="K639" s="138"/>
      <c r="L639" s="138"/>
      <c r="M639" s="138"/>
      <c r="N639" s="138"/>
      <c r="O639" s="138"/>
      <c r="P639" s="138"/>
      <c r="Q639" s="138"/>
      <c r="R639" s="138"/>
      <c r="S639" s="138"/>
      <c r="T639" s="138"/>
      <c r="U639" s="138"/>
      <c r="V639" s="138"/>
      <c r="W639" s="138"/>
      <c r="X639" s="138"/>
      <c r="Y639" s="138"/>
      <c r="Z639" s="138"/>
      <c r="AA639" s="138"/>
      <c r="AB639" s="138"/>
      <c r="AC639" s="138"/>
      <c r="AD639" s="138"/>
      <c r="AE639" s="311"/>
      <c r="AF639" s="138"/>
      <c r="AG639" s="138"/>
      <c r="AH639" s="138"/>
      <c r="AI639" s="138"/>
      <c r="AJ639" s="138"/>
      <c r="AK639" s="138"/>
      <c r="AL639" s="138"/>
      <c r="AM639" s="138"/>
      <c r="AN639" s="138"/>
      <c r="AO639" s="138"/>
      <c r="AP639" s="138"/>
      <c r="AQ639" s="138"/>
      <c r="AR639" s="138"/>
      <c r="AS639" s="138"/>
      <c r="AT639" s="138"/>
      <c r="AU639" s="138"/>
      <c r="AV639" s="138"/>
      <c r="AW639" s="138"/>
      <c r="AX639" s="138"/>
      <c r="AY639" s="138"/>
      <c r="BB639" s="138"/>
      <c r="BC639" s="138"/>
      <c r="BD639" s="138"/>
      <c r="BE639" s="138"/>
      <c r="BF639" s="138"/>
      <c r="BG639" s="138"/>
      <c r="BH639" s="138"/>
      <c r="BI639" s="138"/>
    </row>
    <row r="640" spans="1:61" ht="15" customHeight="1">
      <c r="A640" s="138"/>
      <c r="B640" s="300"/>
      <c r="C640" s="284" t="str">
        <f>IF(Tool!$H$7="Français",G640,IF(Tool!$H$7="Italiano",I640,E640))</f>
        <v>Einwirkungen auf Tragwerke</v>
      </c>
      <c r="D640" s="300"/>
      <c r="E640" s="284" t="s">
        <v>1222</v>
      </c>
      <c r="F640" s="300"/>
      <c r="G640" s="284" t="s">
        <v>1223</v>
      </c>
      <c r="H640" s="300"/>
      <c r="I640" s="284" t="s">
        <v>1224</v>
      </c>
      <c r="J640" s="316"/>
      <c r="K640" s="138"/>
      <c r="L640" s="138"/>
      <c r="M640" s="138"/>
      <c r="N640" s="138"/>
      <c r="O640" s="138"/>
      <c r="P640" s="138"/>
      <c r="Q640" s="138"/>
      <c r="R640" s="138"/>
      <c r="S640" s="138"/>
      <c r="T640" s="138"/>
      <c r="U640" s="138"/>
      <c r="V640" s="138"/>
      <c r="W640" s="138"/>
      <c r="X640" s="138"/>
      <c r="Y640" s="138"/>
      <c r="Z640" s="138"/>
      <c r="AA640" s="138"/>
      <c r="AB640" s="138"/>
      <c r="AC640" s="138"/>
      <c r="AD640" s="138"/>
      <c r="AE640" s="311"/>
      <c r="AF640" s="138"/>
      <c r="AG640" s="138"/>
      <c r="AH640" s="138"/>
      <c r="AI640" s="138"/>
      <c r="AJ640" s="138"/>
      <c r="AK640" s="138"/>
      <c r="AL640" s="138"/>
      <c r="AM640" s="138"/>
      <c r="AN640" s="138"/>
      <c r="AO640" s="138"/>
      <c r="AP640" s="138"/>
      <c r="AQ640" s="138"/>
      <c r="AR640" s="138"/>
      <c r="AS640" s="138"/>
      <c r="AT640" s="138"/>
      <c r="AU640" s="138"/>
      <c r="AV640" s="138"/>
      <c r="AW640" s="138"/>
      <c r="AX640" s="138"/>
      <c r="AY640" s="138"/>
      <c r="BB640" s="138"/>
      <c r="BC640" s="138"/>
      <c r="BD640" s="138"/>
      <c r="BE640" s="138"/>
      <c r="BF640" s="138"/>
      <c r="BG640" s="138"/>
      <c r="BH640" s="138"/>
      <c r="BI640" s="138"/>
    </row>
    <row r="641" spans="1:61" ht="15" customHeight="1">
      <c r="A641" s="138"/>
      <c r="B641" s="300"/>
      <c r="C641" s="284" t="str">
        <f>IF(Tool!$H$7="Français",G641,IF(Tool!$H$7="Italiano",I641,E641))</f>
        <v xml:space="preserve">SIA 261:2020 </v>
      </c>
      <c r="D641" s="300"/>
      <c r="E641" s="284" t="s">
        <v>1456</v>
      </c>
      <c r="F641" s="300"/>
      <c r="G641" s="284" t="s">
        <v>1508</v>
      </c>
      <c r="H641" s="300"/>
      <c r="I641" s="284" t="s">
        <v>1508</v>
      </c>
      <c r="J641" s="316"/>
      <c r="K641" s="138"/>
      <c r="L641" s="138"/>
      <c r="M641" s="138"/>
      <c r="N641" s="138"/>
      <c r="O641" s="138"/>
      <c r="P641" s="138"/>
      <c r="Q641" s="138"/>
      <c r="R641" s="138"/>
      <c r="S641" s="138"/>
      <c r="T641" s="138"/>
      <c r="U641" s="138"/>
      <c r="V641" s="138"/>
      <c r="W641" s="138"/>
      <c r="X641" s="138"/>
      <c r="Y641" s="138"/>
      <c r="Z641" s="138"/>
      <c r="AA641" s="138"/>
      <c r="AB641" s="138"/>
      <c r="AC641" s="138"/>
      <c r="AD641" s="138"/>
      <c r="AE641" s="311"/>
      <c r="AF641" s="138"/>
      <c r="AG641" s="138"/>
      <c r="AH641" s="138"/>
      <c r="AI641" s="138"/>
      <c r="AJ641" s="138"/>
      <c r="AK641" s="138"/>
      <c r="AL641" s="138"/>
      <c r="AM641" s="138"/>
      <c r="AN641" s="138"/>
      <c r="AO641" s="138"/>
      <c r="AP641" s="138"/>
      <c r="AQ641" s="138"/>
      <c r="AR641" s="138"/>
      <c r="AS641" s="138"/>
      <c r="AT641" s="138"/>
      <c r="AU641" s="138"/>
      <c r="AV641" s="138"/>
      <c r="AW641" s="138"/>
      <c r="AX641" s="138"/>
      <c r="AY641" s="138"/>
      <c r="BB641" s="138"/>
      <c r="BC641" s="138"/>
      <c r="BD641" s="138"/>
      <c r="BE641" s="138"/>
      <c r="BF641" s="138"/>
      <c r="BG641" s="138"/>
      <c r="BH641" s="138"/>
      <c r="BI641" s="138"/>
    </row>
    <row r="642" spans="1:61" ht="15" customHeight="1">
      <c r="A642" s="138"/>
      <c r="B642" s="300"/>
      <c r="C642" s="284" t="str">
        <f>IF(Tool!$H$7="Français",G642,IF(Tool!$H$7="Italiano",I642,E642))</f>
        <v>Einwirkungen auf Tragwerke − Ergänzende Festlegungen</v>
      </c>
      <c r="D642" s="300"/>
      <c r="E642" s="284" t="s">
        <v>1465</v>
      </c>
      <c r="F642" s="300"/>
      <c r="G642" s="284" t="s">
        <v>1507</v>
      </c>
      <c r="H642" s="300"/>
      <c r="I642" s="284" t="s">
        <v>1509</v>
      </c>
      <c r="J642" s="316"/>
      <c r="K642" s="138"/>
      <c r="L642" s="138"/>
      <c r="M642" s="138"/>
      <c r="N642" s="138"/>
      <c r="O642" s="138"/>
      <c r="P642" s="138"/>
      <c r="Q642" s="138"/>
      <c r="R642" s="138"/>
      <c r="S642" s="138"/>
      <c r="T642" s="138"/>
      <c r="U642" s="138"/>
      <c r="V642" s="138"/>
      <c r="W642" s="138"/>
      <c r="X642" s="138"/>
      <c r="Y642" s="138"/>
      <c r="Z642" s="138"/>
      <c r="AA642" s="138"/>
      <c r="AB642" s="138"/>
      <c r="AC642" s="138"/>
      <c r="AD642" s="138"/>
      <c r="AE642" s="311"/>
      <c r="AF642" s="138"/>
      <c r="AG642" s="138"/>
      <c r="AH642" s="138"/>
      <c r="AI642" s="138"/>
      <c r="AJ642" s="138"/>
      <c r="AK642" s="138"/>
      <c r="AL642" s="138"/>
      <c r="AM642" s="138"/>
      <c r="AN642" s="138"/>
      <c r="AO642" s="138"/>
      <c r="AP642" s="138"/>
      <c r="AQ642" s="138"/>
      <c r="AR642" s="138"/>
      <c r="AS642" s="138"/>
      <c r="AT642" s="138"/>
      <c r="AU642" s="138"/>
      <c r="AV642" s="138"/>
      <c r="AW642" s="138"/>
      <c r="AX642" s="138"/>
      <c r="AY642" s="138"/>
      <c r="BB642" s="138"/>
      <c r="BC642" s="138"/>
      <c r="BD642" s="138"/>
      <c r="BE642" s="138"/>
      <c r="BF642" s="138"/>
      <c r="BG642" s="138"/>
      <c r="BH642" s="138"/>
      <c r="BI642" s="138"/>
    </row>
    <row r="643" spans="1:61" ht="15" customHeight="1">
      <c r="A643" s="138"/>
      <c r="B643" s="300"/>
      <c r="C643" s="284" t="str">
        <f>IF(Tool!$H$7="Français",G643,IF(Tool!$H$7="Italiano",I643,E643))</f>
        <v>SIA 261/1:2020</v>
      </c>
      <c r="D643" s="300"/>
      <c r="E643" s="284" t="s">
        <v>1464</v>
      </c>
      <c r="F643" s="300"/>
      <c r="G643" s="284" t="s">
        <v>1464</v>
      </c>
      <c r="H643" s="300"/>
      <c r="I643" s="284" t="s">
        <v>1464</v>
      </c>
      <c r="J643" s="316"/>
      <c r="K643" s="138"/>
      <c r="L643" s="138"/>
      <c r="M643" s="138"/>
      <c r="N643" s="138"/>
      <c r="O643" s="138"/>
      <c r="P643" s="138"/>
      <c r="Q643" s="138"/>
      <c r="R643" s="138"/>
      <c r="S643" s="138"/>
      <c r="T643" s="138"/>
      <c r="U643" s="138"/>
      <c r="V643" s="138"/>
      <c r="W643" s="138"/>
      <c r="X643" s="138"/>
      <c r="Y643" s="138"/>
      <c r="Z643" s="138"/>
      <c r="AA643" s="138"/>
      <c r="AB643" s="138"/>
      <c r="AC643" s="138"/>
      <c r="AD643" s="138"/>
      <c r="AE643" s="311"/>
      <c r="AF643" s="138"/>
      <c r="AG643" s="138"/>
      <c r="AH643" s="138"/>
      <c r="AI643" s="138"/>
      <c r="AJ643" s="138"/>
      <c r="AK643" s="138"/>
      <c r="AL643" s="138"/>
      <c r="AM643" s="138"/>
      <c r="AN643" s="138"/>
      <c r="AO643" s="138"/>
      <c r="AP643" s="138"/>
      <c r="AQ643" s="138"/>
      <c r="AR643" s="138"/>
      <c r="AS643" s="138"/>
      <c r="AT643" s="138"/>
      <c r="AU643" s="138"/>
      <c r="AV643" s="138"/>
      <c r="AW643" s="138"/>
      <c r="AX643" s="138"/>
      <c r="AY643" s="138"/>
      <c r="BB643" s="138"/>
      <c r="BC643" s="138"/>
      <c r="BD643" s="138"/>
      <c r="BE643" s="138"/>
      <c r="BF643" s="138"/>
      <c r="BG643" s="138"/>
      <c r="BH643" s="138"/>
      <c r="BI643" s="138"/>
    </row>
    <row r="644" spans="1:61" ht="15" customHeight="1">
      <c r="A644" s="138"/>
      <c r="B644" s="300"/>
      <c r="C644" s="284" t="str">
        <f>IF(Tool!$H$7="Français",G644,IF(Tool!$H$7="Italiano",I644,E644))</f>
        <v>Heizwärmebedarf</v>
      </c>
      <c r="D644" s="300"/>
      <c r="E644" s="284" t="s">
        <v>183</v>
      </c>
      <c r="F644" s="300"/>
      <c r="G644" s="284" t="s">
        <v>1513</v>
      </c>
      <c r="H644" s="300"/>
      <c r="I644" s="284" t="s">
        <v>1195</v>
      </c>
      <c r="J644" s="316"/>
      <c r="K644" s="138"/>
      <c r="L644" s="138"/>
      <c r="M644" s="138"/>
      <c r="N644" s="138"/>
      <c r="O644" s="138"/>
      <c r="P644" s="138"/>
      <c r="Q644" s="138"/>
      <c r="R644" s="138"/>
      <c r="S644" s="138"/>
      <c r="T644" s="138"/>
      <c r="U644" s="138"/>
      <c r="V644" s="138"/>
      <c r="W644" s="138"/>
      <c r="X644" s="138"/>
      <c r="Y644" s="138"/>
      <c r="Z644" s="138"/>
      <c r="AA644" s="138"/>
      <c r="AB644" s="138"/>
      <c r="AC644" s="138"/>
      <c r="AD644" s="138"/>
      <c r="AE644" s="311"/>
      <c r="AF644" s="138"/>
      <c r="AG644" s="138"/>
      <c r="AH644" s="138"/>
      <c r="AI644" s="138"/>
      <c r="AJ644" s="138"/>
      <c r="AK644" s="138"/>
      <c r="AL644" s="138"/>
      <c r="AM644" s="138"/>
      <c r="AN644" s="138"/>
      <c r="AO644" s="138"/>
      <c r="AP644" s="138"/>
      <c r="AQ644" s="138"/>
      <c r="AR644" s="138"/>
      <c r="AS644" s="138"/>
      <c r="AT644" s="138"/>
      <c r="AU644" s="138"/>
      <c r="AV644" s="138"/>
      <c r="AW644" s="138"/>
      <c r="AX644" s="138"/>
      <c r="AY644" s="138"/>
      <c r="BB644" s="138"/>
      <c r="BC644" s="138"/>
      <c r="BD644" s="138"/>
      <c r="BE644" s="138"/>
      <c r="BF644" s="138"/>
      <c r="BG644" s="138"/>
      <c r="BH644" s="138"/>
      <c r="BI644" s="138"/>
    </row>
    <row r="645" spans="1:61" ht="15" customHeight="1">
      <c r="A645" s="138"/>
      <c r="B645" s="300"/>
      <c r="C645" s="284" t="str">
        <f>IF(Tool!$H$7="Français",G645,IF(Tool!$H$7="Italiano",I645,E645))</f>
        <v>SIA 380/1:2016</v>
      </c>
      <c r="D645" s="300"/>
      <c r="E645" s="284" t="s">
        <v>1510</v>
      </c>
      <c r="F645" s="300"/>
      <c r="G645" s="284" t="s">
        <v>1510</v>
      </c>
      <c r="H645" s="300"/>
      <c r="I645" s="284" t="s">
        <v>1510</v>
      </c>
      <c r="J645" s="316"/>
      <c r="K645" s="138"/>
      <c r="L645" s="138"/>
      <c r="M645" s="138"/>
      <c r="N645" s="138"/>
      <c r="O645" s="138"/>
      <c r="P645" s="138"/>
      <c r="Q645" s="138"/>
      <c r="R645" s="138"/>
      <c r="S645" s="138"/>
      <c r="T645" s="138"/>
      <c r="U645" s="138"/>
      <c r="V645" s="138"/>
      <c r="W645" s="138"/>
      <c r="X645" s="138"/>
      <c r="Y645" s="138"/>
      <c r="Z645" s="138"/>
      <c r="AA645" s="138"/>
      <c r="AB645" s="138"/>
      <c r="AC645" s="138"/>
      <c r="AD645" s="138"/>
      <c r="AE645" s="311"/>
      <c r="AF645" s="138"/>
      <c r="AG645" s="138"/>
      <c r="AH645" s="138"/>
      <c r="AI645" s="138"/>
      <c r="AJ645" s="138"/>
      <c r="AK645" s="138"/>
      <c r="AL645" s="138"/>
      <c r="AM645" s="138"/>
      <c r="AN645" s="138"/>
      <c r="AO645" s="138"/>
      <c r="AP645" s="138"/>
      <c r="AQ645" s="138"/>
      <c r="AR645" s="138"/>
      <c r="AS645" s="138"/>
      <c r="AT645" s="138"/>
      <c r="AU645" s="138"/>
      <c r="AV645" s="138"/>
      <c r="AW645" s="138"/>
      <c r="AX645" s="138"/>
      <c r="AY645" s="138"/>
      <c r="BB645" s="138"/>
      <c r="BC645" s="138"/>
      <c r="BD645" s="138"/>
      <c r="BE645" s="138"/>
      <c r="BF645" s="138"/>
      <c r="BG645" s="138"/>
      <c r="BH645" s="138"/>
      <c r="BI645" s="138"/>
    </row>
    <row r="646" spans="1:61" ht="15" customHeight="1">
      <c r="A646" s="138"/>
      <c r="B646" s="300"/>
      <c r="C646" s="284" t="str">
        <f>IF(Tool!$H$7="Français",G646,IF(Tool!$H$7="Italiano",I646,E646))</f>
        <v>Klimatisierte Gebäude − Leistungs- und Energiebedarf</v>
      </c>
      <c r="D646" s="300"/>
      <c r="E646" s="284" t="s">
        <v>1511</v>
      </c>
      <c r="F646" s="300"/>
      <c r="G646" s="284" t="s">
        <v>1203</v>
      </c>
      <c r="H646" s="300"/>
      <c r="I646" s="284" t="s">
        <v>1514</v>
      </c>
      <c r="J646" s="316"/>
      <c r="K646" s="138"/>
      <c r="L646" s="138"/>
      <c r="M646" s="138"/>
      <c r="N646" s="138"/>
      <c r="O646" s="138"/>
      <c r="P646" s="138"/>
      <c r="Q646" s="138"/>
      <c r="R646" s="138"/>
      <c r="S646" s="138"/>
      <c r="T646" s="138"/>
      <c r="U646" s="138"/>
      <c r="V646" s="138"/>
      <c r="W646" s="138"/>
      <c r="X646" s="138"/>
      <c r="Y646" s="138"/>
      <c r="Z646" s="138"/>
      <c r="AA646" s="138"/>
      <c r="AB646" s="138"/>
      <c r="AC646" s="138"/>
      <c r="AD646" s="138"/>
      <c r="AE646" s="311"/>
      <c r="AF646" s="138"/>
      <c r="AG646" s="138"/>
      <c r="AH646" s="138"/>
      <c r="AI646" s="138"/>
      <c r="AJ646" s="138"/>
      <c r="AK646" s="138"/>
      <c r="AL646" s="138"/>
      <c r="AM646" s="138"/>
      <c r="AN646" s="138"/>
      <c r="AO646" s="138"/>
      <c r="AP646" s="138"/>
      <c r="AQ646" s="138"/>
      <c r="AR646" s="138"/>
      <c r="AS646" s="138"/>
      <c r="AT646" s="138"/>
      <c r="AU646" s="138"/>
      <c r="AV646" s="138"/>
      <c r="AW646" s="138"/>
      <c r="AX646" s="138"/>
      <c r="AY646" s="138"/>
      <c r="BB646" s="138"/>
      <c r="BC646" s="138"/>
      <c r="BD646" s="138"/>
      <c r="BE646" s="138"/>
      <c r="BF646" s="138"/>
      <c r="BG646" s="138"/>
      <c r="BH646" s="138"/>
      <c r="BI646" s="138"/>
    </row>
    <row r="647" spans="1:61" ht="15" customHeight="1">
      <c r="A647" s="138"/>
      <c r="B647" s="300"/>
      <c r="C647" s="284" t="str">
        <f>IF(Tool!$H$7="Français",G647,IF(Tool!$H$7="Italiano",I647,E647))</f>
        <v>SIA 382/1:2011</v>
      </c>
      <c r="D647" s="300"/>
      <c r="E647" s="284" t="s">
        <v>1536</v>
      </c>
      <c r="F647" s="300"/>
      <c r="G647" s="284" t="s">
        <v>1536</v>
      </c>
      <c r="H647" s="300"/>
      <c r="I647" s="284" t="s">
        <v>1536</v>
      </c>
      <c r="J647" s="316"/>
      <c r="K647" s="138"/>
      <c r="L647" s="138"/>
      <c r="M647" s="138"/>
      <c r="N647" s="138"/>
      <c r="O647" s="138"/>
      <c r="P647" s="138"/>
      <c r="Q647" s="138"/>
      <c r="R647" s="138"/>
      <c r="S647" s="138"/>
      <c r="T647" s="138"/>
      <c r="U647" s="138"/>
      <c r="V647" s="138"/>
      <c r="W647" s="138"/>
      <c r="X647" s="138"/>
      <c r="Y647" s="138"/>
      <c r="Z647" s="138"/>
      <c r="AA647" s="138"/>
      <c r="AB647" s="138"/>
      <c r="AC647" s="138"/>
      <c r="AD647" s="138"/>
      <c r="AE647" s="311"/>
      <c r="AF647" s="138"/>
      <c r="AG647" s="138"/>
      <c r="AH647" s="138"/>
      <c r="AI647" s="138"/>
      <c r="AJ647" s="138"/>
      <c r="AK647" s="138"/>
      <c r="AL647" s="138"/>
      <c r="AM647" s="138"/>
      <c r="AN647" s="138"/>
      <c r="AO647" s="138"/>
      <c r="AP647" s="138"/>
      <c r="AQ647" s="138"/>
      <c r="AR647" s="138"/>
      <c r="AS647" s="138"/>
      <c r="AT647" s="138"/>
      <c r="AU647" s="138"/>
      <c r="AV647" s="138"/>
      <c r="AW647" s="138"/>
      <c r="AX647" s="138"/>
      <c r="AY647" s="138"/>
      <c r="BB647" s="138"/>
      <c r="BC647" s="138"/>
      <c r="BD647" s="138"/>
      <c r="BE647" s="138"/>
      <c r="BF647" s="138"/>
      <c r="BG647" s="138"/>
      <c r="BH647" s="138"/>
      <c r="BI647" s="138"/>
    </row>
    <row r="648" spans="1:61" ht="15" customHeight="1">
      <c r="A648" s="138"/>
      <c r="B648" s="300"/>
      <c r="C648" s="284" t="str">
        <f>IF(Tool!$H$7="Français",G648,IF(Tool!$H$7="Italiano",I648,E648))</f>
        <v>Elektrizität in Gebäuden − Beleuchtung: Berechnung und Anforderungen</v>
      </c>
      <c r="D648" s="300"/>
      <c r="E648" s="284" t="s">
        <v>1205</v>
      </c>
      <c r="F648" s="300"/>
      <c r="G648" s="284" t="s">
        <v>1204</v>
      </c>
      <c r="H648" s="300"/>
      <c r="I648" s="284" t="s">
        <v>1202</v>
      </c>
      <c r="J648" s="316"/>
      <c r="K648" s="138"/>
      <c r="L648" s="138"/>
      <c r="M648" s="138"/>
      <c r="N648" s="138"/>
      <c r="O648" s="138"/>
      <c r="P648" s="138"/>
      <c r="Q648" s="138"/>
      <c r="R648" s="138"/>
      <c r="S648" s="138"/>
      <c r="T648" s="138"/>
      <c r="U648" s="138"/>
      <c r="V648" s="138"/>
      <c r="W648" s="138"/>
      <c r="X648" s="138"/>
      <c r="Y648" s="138"/>
      <c r="Z648" s="138"/>
      <c r="AA648" s="138"/>
      <c r="AB648" s="138"/>
      <c r="AC648" s="138"/>
      <c r="AD648" s="138"/>
      <c r="AE648" s="311"/>
      <c r="AF648" s="138"/>
      <c r="AG648" s="138"/>
      <c r="AH648" s="138"/>
      <c r="AI648" s="138"/>
      <c r="AJ648" s="138"/>
      <c r="AK648" s="138"/>
      <c r="AL648" s="138"/>
      <c r="AM648" s="138"/>
      <c r="AN648" s="138"/>
      <c r="AO648" s="138"/>
      <c r="AP648" s="138"/>
      <c r="AQ648" s="138"/>
      <c r="AR648" s="138"/>
      <c r="AS648" s="138"/>
      <c r="AT648" s="138"/>
      <c r="AU648" s="138"/>
      <c r="AV648" s="138"/>
      <c r="AW648" s="138"/>
      <c r="AX648" s="138"/>
      <c r="AY648" s="138"/>
      <c r="BB648" s="138"/>
      <c r="BC648" s="138"/>
      <c r="BD648" s="138"/>
      <c r="BE648" s="138"/>
      <c r="BF648" s="138"/>
      <c r="BG648" s="138"/>
      <c r="BH648" s="138"/>
      <c r="BI648" s="138"/>
    </row>
    <row r="649" spans="1:61" ht="15" customHeight="1">
      <c r="A649" s="138"/>
      <c r="B649" s="300"/>
      <c r="C649" s="284" t="str">
        <f>IF(Tool!$H$7="Français",G649,IF(Tool!$H$7="Italiano",I649,E649))</f>
        <v>SIA 387/4:2023</v>
      </c>
      <c r="D649" s="300"/>
      <c r="E649" s="284" t="s">
        <v>1512</v>
      </c>
      <c r="F649" s="300"/>
      <c r="G649" s="284" t="s">
        <v>1512</v>
      </c>
      <c r="H649" s="300"/>
      <c r="I649" s="284" t="s">
        <v>1512</v>
      </c>
      <c r="J649" s="316"/>
      <c r="K649" s="138"/>
      <c r="L649" s="138"/>
      <c r="M649" s="138"/>
      <c r="N649" s="138"/>
      <c r="O649" s="138"/>
      <c r="P649" s="138"/>
      <c r="Q649" s="138"/>
      <c r="R649" s="138"/>
      <c r="S649" s="138"/>
      <c r="T649" s="138"/>
      <c r="U649" s="138"/>
      <c r="V649" s="138"/>
      <c r="W649" s="138"/>
      <c r="X649" s="138"/>
      <c r="Y649" s="138"/>
      <c r="Z649" s="138"/>
      <c r="AA649" s="138"/>
      <c r="AB649" s="138"/>
      <c r="AC649" s="138"/>
      <c r="AD649" s="138"/>
      <c r="AE649" s="311"/>
      <c r="AF649" s="138"/>
      <c r="AG649" s="138"/>
      <c r="AH649" s="138"/>
      <c r="AI649" s="138"/>
      <c r="AJ649" s="138"/>
      <c r="AK649" s="138"/>
      <c r="AL649" s="138"/>
      <c r="AM649" s="138"/>
      <c r="AN649" s="138"/>
      <c r="AO649" s="138"/>
      <c r="AP649" s="138"/>
      <c r="AQ649" s="138"/>
      <c r="AR649" s="138"/>
      <c r="AS649" s="138"/>
      <c r="AT649" s="138"/>
      <c r="AU649" s="138"/>
      <c r="AV649" s="138"/>
      <c r="AW649" s="138"/>
      <c r="AX649" s="138"/>
      <c r="AY649" s="138"/>
      <c r="BB649" s="138"/>
      <c r="BC649" s="138"/>
      <c r="BD649" s="138"/>
      <c r="BE649" s="138"/>
      <c r="BF649" s="138"/>
      <c r="BG649" s="138"/>
      <c r="BH649" s="138"/>
      <c r="BI649" s="138"/>
    </row>
    <row r="650" spans="1:61" ht="15" customHeight="1">
      <c r="A650" s="138"/>
      <c r="B650" s="300"/>
      <c r="C650" s="284" t="str">
        <f>IF(Tool!$H$7="Français",G650,IF(Tool!$H$7="Italiano",I650,E650))</f>
        <v>Entwässerung von Baustellen</v>
      </c>
      <c r="D650" s="300"/>
      <c r="E650" s="284" t="s">
        <v>195</v>
      </c>
      <c r="F650" s="300"/>
      <c r="G650" s="284" t="s">
        <v>1515</v>
      </c>
      <c r="H650" s="300"/>
      <c r="I650" s="284" t="s">
        <v>1517</v>
      </c>
      <c r="J650" s="316"/>
      <c r="K650" s="138"/>
      <c r="L650" s="138"/>
      <c r="M650" s="138"/>
      <c r="N650" s="138"/>
      <c r="O650" s="138"/>
      <c r="P650" s="138"/>
      <c r="Q650" s="138"/>
      <c r="R650" s="138"/>
      <c r="S650" s="138"/>
      <c r="T650" s="138"/>
      <c r="U650" s="138"/>
      <c r="V650" s="138"/>
      <c r="W650" s="138"/>
      <c r="X650" s="138"/>
      <c r="Y650" s="138"/>
      <c r="Z650" s="138"/>
      <c r="AA650" s="138"/>
      <c r="AB650" s="138"/>
      <c r="AC650" s="138"/>
      <c r="AD650" s="138"/>
      <c r="AE650" s="311"/>
      <c r="AF650" s="138"/>
      <c r="AG650" s="138"/>
      <c r="AH650" s="138"/>
      <c r="AI650" s="138"/>
      <c r="AJ650" s="138"/>
      <c r="AK650" s="138"/>
      <c r="AL650" s="138"/>
      <c r="AM650" s="138"/>
      <c r="AN650" s="138"/>
      <c r="AO650" s="138"/>
      <c r="AP650" s="138"/>
      <c r="AQ650" s="138"/>
      <c r="AR650" s="138"/>
      <c r="AS650" s="138"/>
      <c r="AT650" s="138"/>
      <c r="AU650" s="138"/>
      <c r="AV650" s="138"/>
      <c r="AW650" s="138"/>
      <c r="AX650" s="138"/>
      <c r="AY650" s="138"/>
      <c r="BB650" s="138"/>
      <c r="BC650" s="138"/>
      <c r="BD650" s="138"/>
      <c r="BE650" s="138"/>
      <c r="BF650" s="138"/>
      <c r="BG650" s="138"/>
      <c r="BH650" s="138"/>
      <c r="BI650" s="138"/>
    </row>
    <row r="651" spans="1:61" ht="15" customHeight="1">
      <c r="A651" s="138"/>
      <c r="B651" s="300"/>
      <c r="C651" s="284" t="str">
        <f>IF(Tool!$H$7="Français",G651,IF(Tool!$H$7="Italiano",I651,E651))</f>
        <v xml:space="preserve">SIA 431:2022 </v>
      </c>
      <c r="D651" s="300"/>
      <c r="E651" s="284" t="s">
        <v>1461</v>
      </c>
      <c r="F651" s="300"/>
      <c r="G651" s="284" t="s">
        <v>1516</v>
      </c>
      <c r="H651" s="300"/>
      <c r="I651" s="284" t="s">
        <v>1516</v>
      </c>
      <c r="J651" s="316"/>
      <c r="K651" s="138"/>
      <c r="L651" s="138"/>
      <c r="M651" s="138"/>
      <c r="N651" s="138"/>
      <c r="O651" s="138"/>
      <c r="P651" s="138"/>
      <c r="Q651" s="138"/>
      <c r="R651" s="138"/>
      <c r="S651" s="138"/>
      <c r="T651" s="138"/>
      <c r="U651" s="138"/>
      <c r="V651" s="138"/>
      <c r="W651" s="138"/>
      <c r="X651" s="138"/>
      <c r="Y651" s="138"/>
      <c r="Z651" s="138"/>
      <c r="AA651" s="138"/>
      <c r="AB651" s="138"/>
      <c r="AC651" s="138"/>
      <c r="AD651" s="138"/>
      <c r="AE651" s="311"/>
      <c r="AF651" s="138"/>
      <c r="AG651" s="138"/>
      <c r="AH651" s="138"/>
      <c r="AI651" s="138"/>
      <c r="AJ651" s="138"/>
      <c r="AK651" s="138"/>
      <c r="AL651" s="138"/>
      <c r="AM651" s="138"/>
      <c r="AN651" s="138"/>
      <c r="AO651" s="138"/>
      <c r="AP651" s="138"/>
      <c r="AQ651" s="138"/>
      <c r="AR651" s="138"/>
      <c r="AS651" s="138"/>
      <c r="AT651" s="138"/>
      <c r="AU651" s="138"/>
      <c r="AV651" s="138"/>
      <c r="AW651" s="138"/>
      <c r="AX651" s="138"/>
      <c r="AY651" s="138"/>
      <c r="BB651" s="138"/>
      <c r="BC651" s="138"/>
      <c r="BD651" s="138"/>
      <c r="BE651" s="138"/>
      <c r="BF651" s="138"/>
      <c r="BG651" s="138"/>
      <c r="BH651" s="138"/>
      <c r="BI651" s="138"/>
    </row>
    <row r="652" spans="1:61" ht="15" customHeight="1">
      <c r="A652" s="138"/>
      <c r="B652" s="300"/>
      <c r="C652" s="284" t="str">
        <f>IF(Tool!$H$7="Français",G652,IF(Tool!$H$7="Italiano",I652,E652))</f>
        <v>Hindernisfreie Bauten</v>
      </c>
      <c r="D652" s="300"/>
      <c r="E652" s="284" t="s">
        <v>1519</v>
      </c>
      <c r="F652" s="300"/>
      <c r="G652" s="284" t="s">
        <v>259</v>
      </c>
      <c r="H652" s="300"/>
      <c r="I652" s="284" t="s">
        <v>1209</v>
      </c>
      <c r="J652" s="316"/>
      <c r="K652" s="138"/>
      <c r="L652" s="138"/>
      <c r="M652" s="138"/>
      <c r="N652" s="138"/>
      <c r="O652" s="138"/>
      <c r="P652" s="138"/>
      <c r="Q652" s="138"/>
      <c r="R652" s="138"/>
      <c r="S652" s="138"/>
      <c r="T652" s="138"/>
      <c r="U652" s="138"/>
      <c r="V652" s="138"/>
      <c r="W652" s="138"/>
      <c r="X652" s="138"/>
      <c r="Y652" s="138"/>
      <c r="Z652" s="138"/>
      <c r="AA652" s="138"/>
      <c r="AB652" s="138"/>
      <c r="AC652" s="138"/>
      <c r="AD652" s="138"/>
      <c r="AE652" s="311"/>
      <c r="AF652" s="138"/>
      <c r="AG652" s="138"/>
      <c r="AH652" s="138"/>
      <c r="AI652" s="138"/>
      <c r="AJ652" s="138"/>
      <c r="AK652" s="138"/>
      <c r="AL652" s="138"/>
      <c r="AM652" s="138"/>
      <c r="AN652" s="138"/>
      <c r="AO652" s="138"/>
      <c r="AP652" s="138"/>
      <c r="AQ652" s="138"/>
      <c r="AR652" s="138"/>
      <c r="AS652" s="138"/>
      <c r="AT652" s="138"/>
      <c r="AU652" s="138"/>
      <c r="AV652" s="138"/>
      <c r="AW652" s="138"/>
      <c r="AX652" s="138"/>
      <c r="AY652" s="138"/>
      <c r="BB652" s="138"/>
      <c r="BC652" s="138"/>
      <c r="BD652" s="138"/>
      <c r="BE652" s="138"/>
      <c r="BF652" s="138"/>
      <c r="BG652" s="138"/>
      <c r="BH652" s="138"/>
      <c r="BI652" s="138"/>
    </row>
    <row r="653" spans="1:61" ht="15" customHeight="1">
      <c r="A653" s="138"/>
      <c r="B653" s="300"/>
      <c r="C653" s="284" t="str">
        <f>IF(Tool!$H$7="Français",G653,IF(Tool!$H$7="Italiano",I653,E653))</f>
        <v>SIA 500:2009</v>
      </c>
      <c r="D653" s="300"/>
      <c r="E653" s="284" t="s">
        <v>1518</v>
      </c>
      <c r="F653" s="300"/>
      <c r="G653" s="284" t="s">
        <v>1518</v>
      </c>
      <c r="H653" s="300"/>
      <c r="I653" s="284" t="s">
        <v>1518</v>
      </c>
      <c r="J653" s="316"/>
      <c r="K653" s="138"/>
      <c r="L653" s="138"/>
      <c r="M653" s="138"/>
      <c r="N653" s="138"/>
      <c r="O653" s="138"/>
      <c r="P653" s="138"/>
      <c r="Q653" s="138"/>
      <c r="R653" s="138"/>
      <c r="S653" s="138"/>
      <c r="T653" s="138"/>
      <c r="U653" s="138"/>
      <c r="V653" s="138"/>
      <c r="W653" s="138"/>
      <c r="X653" s="138"/>
      <c r="Y653" s="138"/>
      <c r="Z653" s="138"/>
      <c r="AA653" s="138"/>
      <c r="AB653" s="138"/>
      <c r="AC653" s="138"/>
      <c r="AD653" s="138"/>
      <c r="AE653" s="311"/>
      <c r="AF653" s="138"/>
      <c r="AG653" s="138"/>
      <c r="AH653" s="138"/>
      <c r="AI653" s="138"/>
      <c r="AJ653" s="138"/>
      <c r="AK653" s="138"/>
      <c r="AL653" s="138"/>
      <c r="AM653" s="138"/>
      <c r="AN653" s="138"/>
      <c r="AO653" s="138"/>
      <c r="AP653" s="138"/>
      <c r="AQ653" s="138"/>
      <c r="AR653" s="138"/>
      <c r="AS653" s="138"/>
      <c r="AT653" s="138"/>
      <c r="AU653" s="138"/>
      <c r="AV653" s="138"/>
      <c r="AW653" s="138"/>
      <c r="AX653" s="138"/>
      <c r="AY653" s="138"/>
      <c r="BB653" s="138"/>
      <c r="BC653" s="138"/>
      <c r="BD653" s="138"/>
      <c r="BE653" s="138"/>
      <c r="BF653" s="138"/>
      <c r="BG653" s="138"/>
      <c r="BH653" s="138"/>
      <c r="BI653" s="138"/>
    </row>
    <row r="654" spans="1:61" ht="15" customHeight="1">
      <c r="A654" s="138"/>
      <c r="B654" s="300"/>
      <c r="C654" s="284" t="str">
        <f>IF(Tool!$H$7="Français",G654,IF(Tool!$H$7="Italiano",I654,E654))</f>
        <v>Graue Energie − Ökobilanzierung für die Erstellung von Gebäuden</v>
      </c>
      <c r="D654" s="300"/>
      <c r="E654" s="284" t="s">
        <v>1457</v>
      </c>
      <c r="F654" s="300"/>
      <c r="G654" s="284" t="s">
        <v>1211</v>
      </c>
      <c r="H654" s="300"/>
      <c r="I654" s="284" t="s">
        <v>1212</v>
      </c>
      <c r="J654" s="316"/>
      <c r="K654" s="138"/>
      <c r="L654" s="138"/>
      <c r="M654" s="138"/>
      <c r="N654" s="138"/>
      <c r="O654" s="138"/>
      <c r="P654" s="138"/>
      <c r="Q654" s="138"/>
      <c r="R654" s="138"/>
      <c r="S654" s="138"/>
      <c r="T654" s="138"/>
      <c r="U654" s="138"/>
      <c r="V654" s="138"/>
      <c r="W654" s="138"/>
      <c r="X654" s="138"/>
      <c r="Y654" s="138"/>
      <c r="Z654" s="138"/>
      <c r="AA654" s="138"/>
      <c r="AB654" s="138"/>
      <c r="AC654" s="138"/>
      <c r="AD654" s="138"/>
      <c r="AE654" s="311"/>
      <c r="AF654" s="138"/>
      <c r="AG654" s="138"/>
      <c r="AH654" s="138"/>
      <c r="AI654" s="138"/>
      <c r="AJ654" s="138"/>
      <c r="AK654" s="138"/>
      <c r="AL654" s="138"/>
      <c r="AM654" s="138"/>
      <c r="AN654" s="138"/>
      <c r="AO654" s="138"/>
      <c r="AP654" s="138"/>
      <c r="AQ654" s="138"/>
      <c r="AR654" s="138"/>
      <c r="AS654" s="138"/>
      <c r="AT654" s="138"/>
      <c r="AU654" s="138"/>
      <c r="AV654" s="138"/>
      <c r="AW654" s="138"/>
      <c r="AX654" s="138"/>
      <c r="AY654" s="138"/>
      <c r="BB654" s="138"/>
      <c r="BC654" s="138"/>
      <c r="BD654" s="138"/>
      <c r="BE654" s="138"/>
      <c r="BF654" s="138"/>
      <c r="BG654" s="138"/>
      <c r="BH654" s="138"/>
      <c r="BI654" s="138"/>
    </row>
    <row r="655" spans="1:61" ht="15" customHeight="1">
      <c r="A655" s="138"/>
      <c r="B655" s="300"/>
      <c r="C655" s="284" t="str">
        <f>IF(Tool!$H$7="Français",G655,IF(Tool!$H$7="Italiano",I655,E655))</f>
        <v xml:space="preserve">SIA 2032:2020 </v>
      </c>
      <c r="D655" s="300"/>
      <c r="E655" s="284" t="s">
        <v>1458</v>
      </c>
      <c r="F655" s="300"/>
      <c r="G655" s="284" t="s">
        <v>1523</v>
      </c>
      <c r="H655" s="300"/>
      <c r="I655" s="284" t="s">
        <v>1523</v>
      </c>
      <c r="J655" s="316"/>
      <c r="K655" s="138"/>
      <c r="L655" s="138"/>
      <c r="M655" s="138"/>
      <c r="N655" s="138"/>
      <c r="O655" s="138"/>
      <c r="P655" s="138"/>
      <c r="Q655" s="138"/>
      <c r="R655" s="138"/>
      <c r="S655" s="138"/>
      <c r="T655" s="138"/>
      <c r="U655" s="138"/>
      <c r="V655" s="138"/>
      <c r="W655" s="138"/>
      <c r="X655" s="138"/>
      <c r="Y655" s="138"/>
      <c r="Z655" s="138"/>
      <c r="AA655" s="138"/>
      <c r="AB655" s="138"/>
      <c r="AC655" s="138"/>
      <c r="AD655" s="138"/>
      <c r="AE655" s="311"/>
      <c r="AF655" s="138"/>
      <c r="AG655" s="138"/>
      <c r="AH655" s="138"/>
      <c r="AI655" s="138"/>
      <c r="AJ655" s="138"/>
      <c r="AK655" s="138"/>
      <c r="AL655" s="138"/>
      <c r="AM655" s="138"/>
      <c r="AN655" s="138"/>
      <c r="AO655" s="138"/>
      <c r="AP655" s="138"/>
      <c r="AQ655" s="138"/>
      <c r="AR655" s="138"/>
      <c r="AS655" s="138"/>
      <c r="AT655" s="138"/>
      <c r="AU655" s="138"/>
      <c r="AV655" s="138"/>
      <c r="AW655" s="138"/>
      <c r="AX655" s="138"/>
      <c r="AY655" s="138"/>
      <c r="BB655" s="138"/>
      <c r="BC655" s="138"/>
      <c r="BD655" s="138"/>
      <c r="BE655" s="138"/>
      <c r="BF655" s="138"/>
      <c r="BG655" s="138"/>
      <c r="BH655" s="138"/>
      <c r="BI655" s="138"/>
    </row>
    <row r="656" spans="1:61" ht="15" customHeight="1">
      <c r="A656" s="138"/>
      <c r="B656" s="300"/>
      <c r="C656" s="284" t="str">
        <f>IF(Tool!$H$7="Français",G656,IF(Tool!$H$7="Italiano",I656,E656))</f>
        <v>Mobilität – Energiebedarf in Abhängigkeit vom Gebäudestandort</v>
      </c>
      <c r="D656" s="300"/>
      <c r="E656" s="284" t="s">
        <v>1521</v>
      </c>
      <c r="F656" s="300"/>
      <c r="G656" s="284" t="s">
        <v>1522</v>
      </c>
      <c r="H656" s="300"/>
      <c r="I656" s="284" t="s">
        <v>1528</v>
      </c>
      <c r="J656" s="316"/>
      <c r="K656" s="138"/>
      <c r="L656" s="138"/>
      <c r="M656" s="138"/>
      <c r="N656" s="138"/>
      <c r="O656" s="138"/>
      <c r="P656" s="138"/>
      <c r="Q656" s="138"/>
      <c r="R656" s="138"/>
      <c r="S656" s="138"/>
      <c r="T656" s="138"/>
      <c r="U656" s="138"/>
      <c r="V656" s="138"/>
      <c r="W656" s="138"/>
      <c r="X656" s="138"/>
      <c r="Y656" s="138"/>
      <c r="Z656" s="138"/>
      <c r="AA656" s="138"/>
      <c r="AB656" s="138"/>
      <c r="AC656" s="138"/>
      <c r="AD656" s="138"/>
      <c r="AE656" s="311"/>
      <c r="AF656" s="138"/>
      <c r="AG656" s="138"/>
      <c r="AH656" s="138"/>
      <c r="AI656" s="138"/>
      <c r="AJ656" s="138"/>
      <c r="AK656" s="138"/>
      <c r="AL656" s="138"/>
      <c r="AM656" s="138"/>
      <c r="AN656" s="138"/>
      <c r="AO656" s="138"/>
      <c r="AP656" s="138"/>
      <c r="AQ656" s="138"/>
      <c r="AR656" s="138"/>
      <c r="AS656" s="138"/>
      <c r="AT656" s="138"/>
      <c r="AU656" s="138"/>
      <c r="AV656" s="138"/>
      <c r="AW656" s="138"/>
      <c r="AX656" s="138"/>
      <c r="AY656" s="138"/>
      <c r="BB656" s="138"/>
      <c r="BC656" s="138"/>
      <c r="BD656" s="138"/>
      <c r="BE656" s="138"/>
      <c r="BF656" s="138"/>
      <c r="BG656" s="138"/>
      <c r="BH656" s="138"/>
      <c r="BI656" s="138"/>
    </row>
    <row r="657" spans="1:61" ht="15" customHeight="1">
      <c r="A657" s="138"/>
      <c r="B657" s="300"/>
      <c r="C657" s="284" t="str">
        <f>IF(Tool!$H$7="Français",G657,IF(Tool!$H$7="Italiano",I657,E657))</f>
        <v>SIA 2039:2016</v>
      </c>
      <c r="D657" s="300"/>
      <c r="E657" s="284" t="s">
        <v>1520</v>
      </c>
      <c r="F657" s="300"/>
      <c r="G657" s="284" t="s">
        <v>1520</v>
      </c>
      <c r="H657" s="300"/>
      <c r="I657" s="284" t="s">
        <v>1520</v>
      </c>
      <c r="J657" s="316"/>
      <c r="K657" s="138"/>
      <c r="L657" s="138"/>
      <c r="M657" s="138"/>
      <c r="N657" s="138"/>
      <c r="O657" s="138"/>
      <c r="P657" s="138"/>
      <c r="Q657" s="138"/>
      <c r="R657" s="138"/>
      <c r="S657" s="138"/>
      <c r="T657" s="138"/>
      <c r="U657" s="138"/>
      <c r="V657" s="138"/>
      <c r="W657" s="138"/>
      <c r="X657" s="138"/>
      <c r="Y657" s="138"/>
      <c r="Z657" s="138"/>
      <c r="AA657" s="138"/>
      <c r="AB657" s="138"/>
      <c r="AC657" s="138"/>
      <c r="AD657" s="138"/>
      <c r="AE657" s="311"/>
      <c r="AF657" s="138"/>
      <c r="AG657" s="138"/>
      <c r="AH657" s="138"/>
      <c r="AI657" s="138"/>
      <c r="AJ657" s="138"/>
      <c r="AK657" s="138"/>
      <c r="AL657" s="138"/>
      <c r="AM657" s="138"/>
      <c r="AN657" s="138"/>
      <c r="AO657" s="138"/>
      <c r="AP657" s="138"/>
      <c r="AQ657" s="138"/>
      <c r="AR657" s="138"/>
      <c r="AS657" s="138"/>
      <c r="AT657" s="138"/>
      <c r="AU657" s="138"/>
      <c r="AV657" s="138"/>
      <c r="AW657" s="138"/>
      <c r="AX657" s="138"/>
      <c r="AY657" s="138"/>
      <c r="BB657" s="138"/>
      <c r="BC657" s="138"/>
      <c r="BD657" s="138"/>
      <c r="BE657" s="138"/>
      <c r="BF657" s="138"/>
      <c r="BG657" s="138"/>
      <c r="BH657" s="138"/>
      <c r="BI657" s="138"/>
    </row>
    <row r="658" spans="1:61" ht="15" customHeight="1">
      <c r="A658" s="138"/>
      <c r="B658" s="300"/>
      <c r="C658" s="284" t="str">
        <f>IF(Tool!$H$7="Français",G658,IF(Tool!$H$7="Italiano",I658,E658))</f>
        <v>SIA Effizienzpfad Energie</v>
      </c>
      <c r="D658" s="300"/>
      <c r="E658" s="284" t="s">
        <v>1459</v>
      </c>
      <c r="F658" s="300"/>
      <c r="G658" s="284" t="s">
        <v>1524</v>
      </c>
      <c r="H658" s="300"/>
      <c r="I658" s="284" t="s">
        <v>1214</v>
      </c>
      <c r="J658" s="316"/>
      <c r="K658" s="138"/>
      <c r="L658" s="138"/>
      <c r="M658" s="138"/>
      <c r="N658" s="138"/>
      <c r="O658" s="138"/>
      <c r="P658" s="138"/>
      <c r="Q658" s="138"/>
      <c r="R658" s="138"/>
      <c r="S658" s="138"/>
      <c r="T658" s="138"/>
      <c r="U658" s="138"/>
      <c r="V658" s="138"/>
      <c r="W658" s="138"/>
      <c r="X658" s="138"/>
      <c r="Y658" s="138"/>
      <c r="Z658" s="138"/>
      <c r="AA658" s="138"/>
      <c r="AB658" s="138"/>
      <c r="AC658" s="138"/>
      <c r="AD658" s="138"/>
      <c r="AE658" s="311"/>
      <c r="AF658" s="138"/>
      <c r="AG658" s="138"/>
      <c r="AH658" s="138"/>
      <c r="AI658" s="138"/>
      <c r="AJ658" s="138"/>
      <c r="AK658" s="138"/>
      <c r="AL658" s="138"/>
      <c r="AM658" s="138"/>
      <c r="AN658" s="138"/>
      <c r="AO658" s="138"/>
      <c r="AP658" s="138"/>
      <c r="AQ658" s="138"/>
      <c r="AR658" s="138"/>
      <c r="AS658" s="138"/>
      <c r="AT658" s="138"/>
      <c r="AU658" s="138"/>
      <c r="AV658" s="138"/>
      <c r="AW658" s="138"/>
      <c r="AX658" s="138"/>
      <c r="AY658" s="138"/>
      <c r="BB658" s="138"/>
      <c r="BC658" s="138"/>
      <c r="BD658" s="138"/>
      <c r="BE658" s="138"/>
      <c r="BF658" s="138"/>
      <c r="BG658" s="138"/>
      <c r="BH658" s="138"/>
      <c r="BI658" s="138"/>
    </row>
    <row r="659" spans="1:61" ht="15" customHeight="1">
      <c r="A659" s="138"/>
      <c r="B659" s="300"/>
      <c r="C659" s="284" t="str">
        <f>IF(Tool!$H$7="Français",G659,IF(Tool!$H$7="Italiano",I659,E659))</f>
        <v xml:space="preserve">SIA 2040:2017 </v>
      </c>
      <c r="D659" s="300"/>
      <c r="E659" s="284" t="s">
        <v>1460</v>
      </c>
      <c r="F659" s="300"/>
      <c r="G659" s="284" t="s">
        <v>1525</v>
      </c>
      <c r="H659" s="300"/>
      <c r="I659" s="284" t="s">
        <v>1525</v>
      </c>
      <c r="J659" s="316"/>
      <c r="K659" s="138"/>
      <c r="L659" s="138"/>
      <c r="M659" s="138"/>
      <c r="N659" s="138"/>
      <c r="O659" s="138"/>
      <c r="P659" s="138"/>
      <c r="Q659" s="138"/>
      <c r="R659" s="138"/>
      <c r="S659" s="138"/>
      <c r="T659" s="138"/>
      <c r="U659" s="138"/>
      <c r="V659" s="138"/>
      <c r="W659" s="138"/>
      <c r="X659" s="138"/>
      <c r="Y659" s="138"/>
      <c r="Z659" s="138"/>
      <c r="AA659" s="138"/>
      <c r="AB659" s="138"/>
      <c r="AC659" s="138"/>
      <c r="AD659" s="138"/>
      <c r="AE659" s="311"/>
      <c r="AF659" s="138"/>
      <c r="AG659" s="138"/>
      <c r="AH659" s="138"/>
      <c r="AI659" s="138"/>
      <c r="AJ659" s="138"/>
      <c r="AK659" s="138"/>
      <c r="AL659" s="138"/>
      <c r="AM659" s="138"/>
      <c r="AN659" s="138"/>
      <c r="AO659" s="138"/>
      <c r="AP659" s="138"/>
      <c r="AQ659" s="138"/>
      <c r="AR659" s="138"/>
      <c r="AS659" s="138"/>
      <c r="AT659" s="138"/>
      <c r="AU659" s="138"/>
      <c r="AV659" s="138"/>
      <c r="AW659" s="138"/>
      <c r="AX659" s="138"/>
      <c r="AY659" s="138"/>
      <c r="BB659" s="138"/>
      <c r="BC659" s="138"/>
      <c r="BD659" s="138"/>
      <c r="BE659" s="138"/>
      <c r="BF659" s="138"/>
      <c r="BG659" s="138"/>
      <c r="BH659" s="138"/>
      <c r="BI659" s="138"/>
    </row>
    <row r="660" spans="1:61" ht="15" customHeight="1">
      <c r="A660" s="138"/>
      <c r="B660" s="300"/>
      <c r="C660" s="284" t="str">
        <f>IF(Tool!$H$7="Français",G660,IF(Tool!$H$7="Italiano",I660,E660))</f>
        <v>Energetische Betriebsoptimierung</v>
      </c>
      <c r="D660" s="300"/>
      <c r="E660" s="284" t="s">
        <v>1462</v>
      </c>
      <c r="F660" s="300"/>
      <c r="G660" s="284" t="s">
        <v>1526</v>
      </c>
      <c r="H660" s="300"/>
      <c r="I660" s="284" t="s">
        <v>1529</v>
      </c>
      <c r="J660" s="316"/>
      <c r="K660" s="138"/>
      <c r="L660" s="138"/>
      <c r="M660" s="138"/>
      <c r="N660" s="138"/>
      <c r="O660" s="138"/>
      <c r="P660" s="138"/>
      <c r="Q660" s="138"/>
      <c r="R660" s="138"/>
      <c r="S660" s="138"/>
      <c r="T660" s="138"/>
      <c r="U660" s="138"/>
      <c r="V660" s="138"/>
      <c r="W660" s="138"/>
      <c r="X660" s="138"/>
      <c r="Y660" s="138"/>
      <c r="Z660" s="138"/>
      <c r="AA660" s="138"/>
      <c r="AB660" s="138"/>
      <c r="AC660" s="138"/>
      <c r="AD660" s="138"/>
      <c r="AE660" s="311"/>
      <c r="AF660" s="138"/>
      <c r="AG660" s="138"/>
      <c r="AH660" s="138"/>
      <c r="AI660" s="138"/>
      <c r="AJ660" s="138"/>
      <c r="AK660" s="138"/>
      <c r="AL660" s="138"/>
      <c r="AM660" s="138"/>
      <c r="AN660" s="138"/>
      <c r="AO660" s="138"/>
      <c r="AP660" s="138"/>
      <c r="AQ660" s="138"/>
      <c r="AR660" s="138"/>
      <c r="AS660" s="138"/>
      <c r="AT660" s="138"/>
      <c r="AU660" s="138"/>
      <c r="AV660" s="138"/>
      <c r="AW660" s="138"/>
      <c r="AX660" s="138"/>
      <c r="AY660" s="138"/>
      <c r="BB660" s="138"/>
      <c r="BC660" s="138"/>
      <c r="BD660" s="138"/>
      <c r="BE660" s="138"/>
      <c r="BF660" s="138"/>
      <c r="BG660" s="138"/>
      <c r="BH660" s="138"/>
      <c r="BI660" s="138"/>
    </row>
    <row r="661" spans="1:61" ht="15" customHeight="1">
      <c r="A661" s="138"/>
      <c r="B661" s="300"/>
      <c r="C661" s="284" t="str">
        <f>IF(Tool!$H$7="Français",G661,IF(Tool!$H$7="Italiano",I661,E661))</f>
        <v xml:space="preserve">SIA 2048:2015 </v>
      </c>
      <c r="D661" s="300"/>
      <c r="E661" s="284" t="s">
        <v>1463</v>
      </c>
      <c r="F661" s="300"/>
      <c r="G661" s="284" t="s">
        <v>1527</v>
      </c>
      <c r="H661" s="300"/>
      <c r="I661" s="284" t="s">
        <v>1527</v>
      </c>
      <c r="J661" s="316"/>
      <c r="K661" s="138"/>
      <c r="L661" s="138"/>
      <c r="M661" s="138"/>
      <c r="N661" s="138"/>
      <c r="O661" s="138"/>
      <c r="P661" s="138"/>
      <c r="Q661" s="138"/>
      <c r="R661" s="138"/>
      <c r="S661" s="138"/>
      <c r="T661" s="138"/>
      <c r="U661" s="138"/>
      <c r="V661" s="138"/>
      <c r="W661" s="138"/>
      <c r="X661" s="138"/>
      <c r="Y661" s="138"/>
      <c r="Z661" s="138"/>
      <c r="AA661" s="138"/>
      <c r="AB661" s="138"/>
      <c r="AC661" s="138"/>
      <c r="AD661" s="138"/>
      <c r="AE661" s="311"/>
      <c r="AF661" s="138"/>
      <c r="AG661" s="138"/>
      <c r="AH661" s="138"/>
      <c r="AI661" s="138"/>
      <c r="AJ661" s="138"/>
      <c r="AK661" s="138"/>
      <c r="AL661" s="138"/>
      <c r="AM661" s="138"/>
      <c r="AN661" s="138"/>
      <c r="AO661" s="138"/>
      <c r="AP661" s="138"/>
      <c r="AQ661" s="138"/>
      <c r="AR661" s="138"/>
      <c r="AS661" s="138"/>
      <c r="AT661" s="138"/>
      <c r="AU661" s="138"/>
      <c r="AV661" s="138"/>
      <c r="AW661" s="138"/>
      <c r="AX661" s="138"/>
      <c r="AY661" s="138"/>
      <c r="BB661" s="138"/>
      <c r="BC661" s="138"/>
      <c r="BD661" s="138"/>
      <c r="BE661" s="138"/>
      <c r="BF661" s="138"/>
      <c r="BG661" s="138"/>
      <c r="BH661" s="138"/>
      <c r="BI661" s="138"/>
    </row>
    <row r="662" spans="1:61" ht="15" customHeight="1">
      <c r="A662" s="138"/>
      <c r="B662" s="300"/>
      <c r="C662" s="284"/>
      <c r="D662" s="300"/>
      <c r="E662" s="284"/>
      <c r="F662" s="300"/>
      <c r="G662" s="284"/>
      <c r="H662" s="300"/>
      <c r="I662" s="284"/>
      <c r="J662" s="316"/>
      <c r="K662" s="138"/>
      <c r="L662" s="138"/>
      <c r="M662" s="138"/>
      <c r="N662" s="138"/>
      <c r="O662" s="138"/>
      <c r="P662" s="138"/>
      <c r="Q662" s="138"/>
      <c r="R662" s="138"/>
      <c r="S662" s="138"/>
      <c r="T662" s="138"/>
      <c r="U662" s="138"/>
      <c r="V662" s="138"/>
      <c r="W662" s="138"/>
      <c r="X662" s="138"/>
      <c r="Y662" s="138"/>
      <c r="Z662" s="138"/>
      <c r="AA662" s="138"/>
      <c r="AB662" s="138"/>
      <c r="AC662" s="138"/>
      <c r="AD662" s="138"/>
      <c r="AE662" s="311"/>
      <c r="AF662" s="138"/>
      <c r="AG662" s="138"/>
      <c r="AH662" s="138"/>
      <c r="AI662" s="138"/>
      <c r="AJ662" s="138"/>
      <c r="AK662" s="138"/>
      <c r="AL662" s="138"/>
      <c r="AM662" s="138"/>
      <c r="AN662" s="138"/>
      <c r="AO662" s="138"/>
      <c r="AP662" s="138"/>
      <c r="AQ662" s="138"/>
      <c r="AR662" s="138"/>
      <c r="AS662" s="138"/>
      <c r="AT662" s="138"/>
      <c r="AU662" s="138"/>
      <c r="AV662" s="138"/>
      <c r="AW662" s="138"/>
      <c r="AX662" s="138"/>
      <c r="AY662" s="138"/>
      <c r="BB662" s="138"/>
      <c r="BC662" s="138"/>
      <c r="BD662" s="138"/>
      <c r="BE662" s="138"/>
      <c r="BF662" s="138"/>
      <c r="BG662" s="138"/>
      <c r="BH662" s="138"/>
      <c r="BI662" s="138"/>
    </row>
    <row r="663" spans="1:61" ht="15" customHeight="1">
      <c r="A663" s="138"/>
      <c r="B663" s="299"/>
      <c r="C663" s="415" t="str">
        <f>IF(Tool!$H$7="Français",G663,IF(Tool!$H$7="Italiano",I663,E663))</f>
        <v>: Messgrösse 4</v>
      </c>
      <c r="D663" s="299"/>
      <c r="E663" s="415" t="s">
        <v>1548</v>
      </c>
      <c r="F663" s="299"/>
      <c r="G663" s="415" t="s">
        <v>1554</v>
      </c>
      <c r="H663" s="299"/>
      <c r="I663" s="415" t="s">
        <v>1560</v>
      </c>
      <c r="J663" s="316"/>
      <c r="K663" s="138"/>
      <c r="L663" s="138"/>
      <c r="M663" s="138"/>
      <c r="N663" s="138"/>
      <c r="O663" s="138"/>
      <c r="P663" s="138"/>
      <c r="Q663" s="138"/>
      <c r="R663" s="138"/>
      <c r="S663" s="138"/>
      <c r="T663" s="138"/>
      <c r="U663" s="138"/>
      <c r="V663" s="138"/>
      <c r="W663" s="138"/>
      <c r="X663" s="138"/>
      <c r="Y663" s="138"/>
      <c r="Z663" s="138"/>
      <c r="AA663" s="138"/>
      <c r="AB663" s="138"/>
      <c r="AC663" s="138"/>
      <c r="AD663" s="138"/>
      <c r="AE663" s="311"/>
      <c r="AF663" s="138"/>
      <c r="AG663" s="138"/>
      <c r="AH663" s="138"/>
      <c r="AI663" s="138"/>
      <c r="AJ663" s="138"/>
      <c r="AK663" s="138"/>
      <c r="AL663" s="138"/>
      <c r="AM663" s="138"/>
      <c r="AN663" s="138"/>
      <c r="AO663" s="138"/>
      <c r="AP663" s="138"/>
      <c r="AQ663" s="138"/>
      <c r="AR663" s="138"/>
      <c r="AS663" s="138"/>
      <c r="AT663" s="138"/>
      <c r="AU663" s="138"/>
      <c r="AV663" s="138"/>
      <c r="AW663" s="138"/>
      <c r="AX663" s="138"/>
      <c r="AY663" s="138"/>
      <c r="BB663" s="138"/>
      <c r="BC663" s="138"/>
      <c r="BD663" s="138"/>
      <c r="BE663" s="138"/>
      <c r="BF663" s="138"/>
      <c r="BG663" s="138"/>
      <c r="BH663" s="138"/>
      <c r="BI663" s="138"/>
    </row>
    <row r="664" spans="1:61" ht="15" customHeight="1">
      <c r="A664" s="138"/>
      <c r="B664" s="300"/>
      <c r="C664" s="284" t="str">
        <f>IF(Tool!$H$7="Français",G664,IF(Tool!$H$7="Italiano",I664,E664))</f>
        <v>: Messgrössen 2, 3</v>
      </c>
      <c r="D664" s="300"/>
      <c r="E664" s="284" t="s">
        <v>1549</v>
      </c>
      <c r="F664" s="300"/>
      <c r="G664" s="284" t="s">
        <v>1555</v>
      </c>
      <c r="H664" s="300"/>
      <c r="I664" s="284" t="s">
        <v>1908</v>
      </c>
      <c r="J664" s="316"/>
      <c r="K664" s="138"/>
      <c r="L664" s="138"/>
      <c r="M664" s="138"/>
      <c r="N664" s="138"/>
      <c r="O664" s="138"/>
      <c r="P664" s="138"/>
      <c r="Q664" s="138"/>
      <c r="R664" s="138"/>
      <c r="S664" s="138"/>
      <c r="T664" s="138"/>
      <c r="U664" s="138"/>
      <c r="V664" s="138"/>
      <c r="W664" s="138"/>
      <c r="X664" s="138"/>
      <c r="Y664" s="138"/>
      <c r="Z664" s="138"/>
      <c r="AA664" s="138"/>
      <c r="AB664" s="138"/>
      <c r="AC664" s="138"/>
      <c r="AD664" s="138"/>
      <c r="AE664" s="311"/>
      <c r="AF664" s="138"/>
      <c r="AG664" s="138"/>
      <c r="AH664" s="138"/>
      <c r="AI664" s="138"/>
      <c r="AJ664" s="138"/>
      <c r="AK664" s="138"/>
      <c r="AL664" s="138"/>
      <c r="AM664" s="138"/>
      <c r="AN664" s="138"/>
      <c r="AO664" s="138"/>
      <c r="AP664" s="138"/>
      <c r="AQ664" s="138"/>
      <c r="AR664" s="138"/>
      <c r="AS664" s="138"/>
      <c r="AT664" s="138"/>
      <c r="AU664" s="138"/>
      <c r="AV664" s="138"/>
      <c r="AW664" s="138"/>
      <c r="AX664" s="138"/>
      <c r="AY664" s="138"/>
      <c r="BB664" s="138"/>
      <c r="BC664" s="138"/>
      <c r="BD664" s="138"/>
      <c r="BE664" s="138"/>
      <c r="BF664" s="138"/>
      <c r="BG664" s="138"/>
      <c r="BH664" s="138"/>
      <c r="BI664" s="138"/>
    </row>
    <row r="665" spans="1:61" ht="15" customHeight="1">
      <c r="A665" s="138"/>
      <c r="B665" s="300"/>
      <c r="C665" s="284" t="str">
        <f>IF(Tool!$H$7="Français",G665,IF(Tool!$H$7="Italiano",I665,E665))</f>
        <v>: Messgrössen 1, 2</v>
      </c>
      <c r="D665" s="300"/>
      <c r="E665" s="284" t="s">
        <v>1550</v>
      </c>
      <c r="F665" s="300"/>
      <c r="G665" s="284" t="s">
        <v>1556</v>
      </c>
      <c r="H665" s="300"/>
      <c r="I665" s="284" t="s">
        <v>1909</v>
      </c>
      <c r="J665" s="316"/>
      <c r="K665" s="138"/>
      <c r="L665" s="138"/>
      <c r="M665" s="138"/>
      <c r="N665" s="138"/>
      <c r="O665" s="138"/>
      <c r="P665" s="138"/>
      <c r="Q665" s="138"/>
      <c r="R665" s="138"/>
      <c r="S665" s="138"/>
      <c r="T665" s="138"/>
      <c r="U665" s="138"/>
      <c r="V665" s="138"/>
      <c r="W665" s="138"/>
      <c r="X665" s="138"/>
      <c r="Y665" s="138"/>
      <c r="Z665" s="138"/>
      <c r="AA665" s="138"/>
      <c r="AB665" s="138"/>
      <c r="AC665" s="138"/>
      <c r="AD665" s="138"/>
      <c r="AE665" s="311"/>
      <c r="AF665" s="138"/>
      <c r="AG665" s="138"/>
      <c r="AH665" s="138"/>
      <c r="AI665" s="138"/>
      <c r="AJ665" s="138"/>
      <c r="AK665" s="138"/>
      <c r="AL665" s="138"/>
      <c r="AM665" s="138"/>
      <c r="AN665" s="138"/>
      <c r="AO665" s="138"/>
      <c r="AP665" s="138"/>
      <c r="AQ665" s="138"/>
      <c r="AR665" s="138"/>
      <c r="AS665" s="138"/>
      <c r="AT665" s="138"/>
      <c r="AU665" s="138"/>
      <c r="AV665" s="138"/>
      <c r="AW665" s="138"/>
      <c r="AX665" s="138"/>
      <c r="AY665" s="138"/>
      <c r="BB665" s="138"/>
      <c r="BC665" s="138"/>
      <c r="BD665" s="138"/>
      <c r="BE665" s="138"/>
      <c r="BF665" s="138"/>
      <c r="BG665" s="138"/>
      <c r="BH665" s="138"/>
      <c r="BI665" s="138"/>
    </row>
    <row r="666" spans="1:61" ht="15" customHeight="1">
      <c r="A666" s="138"/>
      <c r="B666" s="300"/>
      <c r="C666" s="284" t="str">
        <f>IF(Tool!$H$7="Français",G666,IF(Tool!$H$7="Italiano",I666,E666))</f>
        <v>: Messgrösse 1</v>
      </c>
      <c r="D666" s="300"/>
      <c r="E666" s="284" t="s">
        <v>1551</v>
      </c>
      <c r="F666" s="300"/>
      <c r="G666" s="284" t="s">
        <v>1557</v>
      </c>
      <c r="H666" s="300"/>
      <c r="I666" s="284" t="s">
        <v>1561</v>
      </c>
      <c r="J666" s="316"/>
      <c r="K666" s="138"/>
      <c r="L666" s="138"/>
      <c r="M666" s="138"/>
      <c r="N666" s="138"/>
      <c r="O666" s="138"/>
      <c r="P666" s="138"/>
      <c r="Q666" s="138"/>
      <c r="R666" s="138"/>
      <c r="S666" s="138"/>
      <c r="T666" s="138"/>
      <c r="U666" s="138"/>
      <c r="V666" s="138"/>
      <c r="W666" s="138"/>
      <c r="X666" s="138"/>
      <c r="Y666" s="138"/>
      <c r="Z666" s="138"/>
      <c r="AA666" s="138"/>
      <c r="AB666" s="138"/>
      <c r="AC666" s="138"/>
      <c r="AD666" s="138"/>
      <c r="AE666" s="311"/>
      <c r="AF666" s="138"/>
      <c r="AG666" s="138"/>
      <c r="AH666" s="138"/>
      <c r="AI666" s="138"/>
      <c r="AJ666" s="138"/>
      <c r="AK666" s="138"/>
      <c r="AL666" s="138"/>
      <c r="AM666" s="138"/>
      <c r="AN666" s="138"/>
      <c r="AO666" s="138"/>
      <c r="AP666" s="138"/>
      <c r="AQ666" s="138"/>
      <c r="AR666" s="138"/>
      <c r="AS666" s="138"/>
      <c r="AT666" s="138"/>
      <c r="AU666" s="138"/>
      <c r="AV666" s="138"/>
      <c r="AW666" s="138"/>
      <c r="AX666" s="138"/>
      <c r="AY666" s="138"/>
      <c r="BB666" s="138"/>
      <c r="BC666" s="138"/>
      <c r="BD666" s="138"/>
      <c r="BE666" s="138"/>
      <c r="BF666" s="138"/>
      <c r="BG666" s="138"/>
      <c r="BH666" s="138"/>
      <c r="BI666" s="138"/>
    </row>
    <row r="667" spans="1:61" ht="15" customHeight="1">
      <c r="A667" s="138"/>
      <c r="B667" s="300"/>
      <c r="C667" s="284" t="str">
        <f>IF(Tool!$H$7="Français",G667,IF(Tool!$H$7="Italiano",I667,E667))</f>
        <v>: Messgrössen 2, 5</v>
      </c>
      <c r="D667" s="300"/>
      <c r="E667" s="284" t="s">
        <v>1552</v>
      </c>
      <c r="F667" s="300"/>
      <c r="G667" s="284" t="s">
        <v>1558</v>
      </c>
      <c r="H667" s="300"/>
      <c r="I667" s="284" t="s">
        <v>1910</v>
      </c>
      <c r="J667" s="316"/>
      <c r="K667" s="138"/>
      <c r="L667" s="138"/>
      <c r="M667" s="138"/>
      <c r="N667" s="138"/>
      <c r="O667" s="138"/>
      <c r="P667" s="138"/>
      <c r="Q667" s="138"/>
      <c r="R667" s="138"/>
      <c r="S667" s="138"/>
      <c r="T667" s="138"/>
      <c r="U667" s="138"/>
      <c r="V667" s="138"/>
      <c r="W667" s="138"/>
      <c r="X667" s="138"/>
      <c r="Y667" s="138"/>
      <c r="Z667" s="138"/>
      <c r="AA667" s="138"/>
      <c r="AB667" s="138"/>
      <c r="AC667" s="138"/>
      <c r="AD667" s="138"/>
      <c r="AE667" s="311"/>
      <c r="AF667" s="138"/>
      <c r="AG667" s="138"/>
      <c r="AH667" s="138"/>
      <c r="AI667" s="138"/>
      <c r="AJ667" s="138"/>
      <c r="AK667" s="138"/>
      <c r="AL667" s="138"/>
      <c r="AM667" s="138"/>
      <c r="AN667" s="138"/>
      <c r="AO667" s="138"/>
      <c r="AP667" s="138"/>
      <c r="AQ667" s="138"/>
      <c r="AR667" s="138"/>
      <c r="AS667" s="138"/>
      <c r="AT667" s="138"/>
      <c r="AU667" s="138"/>
      <c r="AV667" s="138"/>
      <c r="AW667" s="138"/>
      <c r="AX667" s="138"/>
      <c r="AY667" s="138"/>
      <c r="BB667" s="138"/>
      <c r="BC667" s="138"/>
      <c r="BD667" s="138"/>
      <c r="BE667" s="138"/>
      <c r="BF667" s="138"/>
      <c r="BG667" s="138"/>
      <c r="BH667" s="138"/>
      <c r="BI667" s="138"/>
    </row>
    <row r="668" spans="1:61" ht="15" customHeight="1">
      <c r="A668" s="138"/>
      <c r="B668" s="301"/>
      <c r="C668" s="876" t="str">
        <f>IF(Tool!$H$7="Français",G668,IF(Tool!$H$7="Italiano",I668,E668))</f>
        <v>: Messgrössen 2, 3, 5</v>
      </c>
      <c r="D668" s="301"/>
      <c r="E668" s="876" t="s">
        <v>1553</v>
      </c>
      <c r="F668" s="301"/>
      <c r="G668" s="876" t="s">
        <v>1559</v>
      </c>
      <c r="H668" s="301"/>
      <c r="I668" s="876" t="s">
        <v>1911</v>
      </c>
      <c r="J668" s="316"/>
      <c r="K668" s="138"/>
      <c r="L668" s="138"/>
      <c r="M668" s="138"/>
      <c r="N668" s="138"/>
      <c r="O668" s="138"/>
      <c r="P668" s="138"/>
      <c r="Q668" s="138"/>
      <c r="R668" s="138"/>
      <c r="S668" s="138"/>
      <c r="T668" s="138"/>
      <c r="U668" s="138"/>
      <c r="V668" s="138"/>
      <c r="W668" s="138"/>
      <c r="X668" s="138"/>
      <c r="Y668" s="138"/>
      <c r="Z668" s="138"/>
      <c r="AA668" s="138"/>
      <c r="AB668" s="138"/>
      <c r="AC668" s="138"/>
      <c r="AD668" s="138"/>
      <c r="AE668" s="311"/>
      <c r="AF668" s="138"/>
      <c r="AG668" s="138"/>
      <c r="AH668" s="138"/>
      <c r="AI668" s="138"/>
      <c r="AJ668" s="138"/>
      <c r="AK668" s="138"/>
      <c r="AL668" s="138"/>
      <c r="AM668" s="138"/>
      <c r="AN668" s="138"/>
      <c r="AO668" s="138"/>
      <c r="AP668" s="138"/>
      <c r="AQ668" s="138"/>
      <c r="AR668" s="138"/>
      <c r="AS668" s="138"/>
      <c r="AT668" s="138"/>
      <c r="AU668" s="138"/>
      <c r="AV668" s="138"/>
      <c r="AW668" s="138"/>
      <c r="AX668" s="138"/>
      <c r="AY668" s="138"/>
      <c r="BB668" s="138"/>
      <c r="BC668" s="138"/>
      <c r="BD668" s="138"/>
      <c r="BE668" s="138"/>
      <c r="BF668" s="138"/>
      <c r="BG668" s="138"/>
      <c r="BH668" s="138"/>
      <c r="BI668" s="138"/>
    </row>
    <row r="669" spans="1:61" ht="15" customHeight="1">
      <c r="A669" s="138"/>
      <c r="B669" s="299"/>
      <c r="C669" s="415" t="str">
        <f>IF(Tool!$H$7="Français",G669,IF(Tool!$H$7="Italiano",I669,E669))</f>
        <v>Info [9]</v>
      </c>
      <c r="D669" s="299"/>
      <c r="E669" s="415" t="s">
        <v>1941</v>
      </c>
      <c r="F669" s="299"/>
      <c r="G669" s="415" t="s">
        <v>1941</v>
      </c>
      <c r="H669" s="299"/>
      <c r="I669" s="415" t="s">
        <v>1941</v>
      </c>
      <c r="J669" s="316"/>
      <c r="K669" s="138"/>
      <c r="L669" s="138"/>
      <c r="M669" s="138"/>
      <c r="N669" s="138"/>
      <c r="O669" s="138"/>
      <c r="P669" s="138"/>
      <c r="Q669" s="138"/>
      <c r="R669" s="138"/>
      <c r="S669" s="138"/>
      <c r="T669" s="138"/>
      <c r="U669" s="138"/>
      <c r="V669" s="138"/>
      <c r="W669" s="138"/>
      <c r="X669" s="138"/>
      <c r="Y669" s="138"/>
      <c r="Z669" s="138"/>
      <c r="AA669" s="138"/>
      <c r="AB669" s="138"/>
      <c r="AC669" s="138"/>
      <c r="AD669" s="138"/>
      <c r="AE669" s="311"/>
      <c r="AF669" s="138"/>
      <c r="AG669" s="138"/>
      <c r="AH669" s="138"/>
      <c r="AI669" s="138"/>
      <c r="AJ669" s="138"/>
      <c r="AK669" s="138"/>
      <c r="AL669" s="138"/>
      <c r="AM669" s="138"/>
      <c r="AN669" s="138"/>
      <c r="AO669" s="138"/>
      <c r="AP669" s="138"/>
      <c r="AQ669" s="138"/>
      <c r="AR669" s="138"/>
      <c r="AS669" s="138"/>
      <c r="AT669" s="138"/>
      <c r="AU669" s="138"/>
      <c r="AV669" s="138"/>
      <c r="AW669" s="138"/>
      <c r="AX669" s="138"/>
      <c r="AY669" s="138"/>
      <c r="BB669" s="138"/>
      <c r="BC669" s="138"/>
      <c r="BD669" s="138"/>
      <c r="BE669" s="138"/>
      <c r="BF669" s="138"/>
      <c r="BG669" s="138"/>
      <c r="BH669" s="138"/>
      <c r="BI669" s="138"/>
    </row>
    <row r="670" spans="1:61">
      <c r="A670" s="138"/>
      <c r="B670" s="300"/>
      <c r="C670" s="284" t="str">
        <f>IF(Tool!$H$7="Français",G670,IF(Tool!$H$7="Italiano",I670,E670))</f>
        <v xml:space="preserve">Ansätze zur Optimierung der Graue Energie und THGE </v>
      </c>
      <c r="D670" s="300"/>
      <c r="E670" s="284" t="s">
        <v>1935</v>
      </c>
      <c r="F670" s="300"/>
      <c r="G670" s="284" t="s">
        <v>1936</v>
      </c>
      <c r="H670" s="300"/>
      <c r="I670" s="284" t="s">
        <v>1937</v>
      </c>
      <c r="J670" s="316"/>
      <c r="K670" s="138"/>
      <c r="L670" s="138"/>
      <c r="M670" s="138"/>
      <c r="N670" s="138"/>
      <c r="O670" s="138"/>
      <c r="P670" s="138"/>
      <c r="Q670" s="138"/>
      <c r="R670" s="138"/>
      <c r="S670" s="138"/>
      <c r="T670" s="138"/>
      <c r="U670" s="138"/>
      <c r="V670" s="138"/>
      <c r="W670" s="138"/>
      <c r="X670" s="138"/>
      <c r="Y670" s="138"/>
      <c r="Z670" s="138"/>
      <c r="AA670" s="138"/>
      <c r="AB670" s="138"/>
      <c r="AC670" s="138"/>
      <c r="AD670" s="138"/>
      <c r="AE670" s="311"/>
      <c r="AF670" s="138"/>
      <c r="AG670" s="138"/>
      <c r="AH670" s="138"/>
      <c r="AI670" s="138"/>
      <c r="AJ670" s="138"/>
      <c r="AK670" s="138"/>
      <c r="AL670" s="138"/>
      <c r="AM670" s="138"/>
      <c r="AN670" s="138"/>
      <c r="AO670" s="138"/>
      <c r="AP670" s="138"/>
      <c r="AQ670" s="138"/>
      <c r="AR670" s="138"/>
      <c r="AS670" s="138"/>
      <c r="AT670" s="138"/>
      <c r="AU670" s="138"/>
      <c r="AV670" s="138"/>
      <c r="AW670" s="138"/>
      <c r="AX670" s="138"/>
      <c r="AY670" s="138"/>
      <c r="BB670" s="138"/>
      <c r="BC670" s="138"/>
      <c r="BD670" s="138"/>
      <c r="BE670" s="138"/>
      <c r="BF670" s="138"/>
      <c r="BG670" s="138"/>
      <c r="BH670" s="138"/>
      <c r="BI670" s="138"/>
    </row>
    <row r="671" spans="1:61" ht="145">
      <c r="A671" s="138"/>
      <c r="B671" s="301"/>
      <c r="C671" s="876" t="str">
        <f>IF(Tool!$H$7="Français",G671,IF(Tool!$H$7="Italiano",I671,E671))</f>
        <v>- Innerhalb des Massivbaus: Systemtrennung und Decken bis max. 22 cm
- CO2-optimierter Zemente in Betonen (CEM II oder CEM III, Unternehmerangebote wie JURA ECO oder Zirkulit)
- Sägerohes Holz statt verleimte Träger und Platten
- Fassadenaufbau in Leichtbauweise 
- Hinterlüftete Fassaden ohne Metallverkleidungen
- Holz- statt Holz-Metallfenster
- Reduzierter Fensteranteil
- Bodenbeläge ohne Fertigbelag, Bsp. Anhydrid geschliffen
- Lehmbauelemente (Lehm-Leichtbauplatten, Lehmbausteine)
- Einfache Gebäudetechnik</v>
      </c>
      <c r="D671" s="301"/>
      <c r="E671" s="876" t="s">
        <v>1938</v>
      </c>
      <c r="F671" s="301"/>
      <c r="G671" s="876" t="s">
        <v>1939</v>
      </c>
      <c r="H671" s="301"/>
      <c r="I671" s="876" t="s">
        <v>1940</v>
      </c>
      <c r="J671" s="316"/>
      <c r="K671" s="138"/>
      <c r="L671" s="138"/>
      <c r="M671" s="138"/>
      <c r="N671" s="138"/>
      <c r="O671" s="138"/>
      <c r="P671" s="138"/>
      <c r="Q671" s="138"/>
      <c r="R671" s="138"/>
      <c r="S671" s="138"/>
      <c r="T671" s="138"/>
      <c r="U671" s="138"/>
      <c r="V671" s="138"/>
      <c r="W671" s="138"/>
      <c r="X671" s="138"/>
      <c r="Y671" s="138"/>
      <c r="Z671" s="138"/>
      <c r="AA671" s="138"/>
      <c r="AB671" s="138"/>
      <c r="AC671" s="138"/>
      <c r="AD671" s="138"/>
    </row>
    <row r="672" spans="1:61"/>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sheetData>
  <sheetProtection formatCells="0" formatColumns="0" formatRows="0"/>
  <dataConsolidate/>
  <mergeCells count="33">
    <mergeCell ref="AF3:AV3"/>
    <mergeCell ref="AF2:AV2"/>
    <mergeCell ref="AF15:AI20"/>
    <mergeCell ref="AK15:AW20"/>
    <mergeCell ref="AF21:AI21"/>
    <mergeCell ref="AK38:AK44"/>
    <mergeCell ref="AK46:AK59"/>
    <mergeCell ref="AL22:AM22"/>
    <mergeCell ref="AF38:AI38"/>
    <mergeCell ref="AF45:AI45"/>
    <mergeCell ref="AZ15:BH20"/>
    <mergeCell ref="AK21:AY21"/>
    <mergeCell ref="AO22:AP22"/>
    <mergeCell ref="AF22:AI22"/>
    <mergeCell ref="AK23:AK36"/>
    <mergeCell ref="Y208:AD208"/>
    <mergeCell ref="K211:P211"/>
    <mergeCell ref="R211:W211"/>
    <mergeCell ref="Y211:AD211"/>
    <mergeCell ref="Y5:AD5"/>
    <mergeCell ref="Y29:AD29"/>
    <mergeCell ref="Y44:AD44"/>
    <mergeCell ref="Y51:AD51"/>
    <mergeCell ref="R51:W51"/>
    <mergeCell ref="K51:P51"/>
    <mergeCell ref="Y119:AD119"/>
    <mergeCell ref="Y166:AD166"/>
    <mergeCell ref="Y167:AD167"/>
    <mergeCell ref="AF70:BG70"/>
    <mergeCell ref="AJ71:AN71"/>
    <mergeCell ref="AF71:AG71"/>
    <mergeCell ref="AH71:AI71"/>
    <mergeCell ref="Y186:AD186"/>
  </mergeCells>
  <pageMargins left="0.7" right="0.7" top="0.78740157499999996" bottom="0.78740157499999996"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939757D971E44AB2321F9C564233AB" ma:contentTypeVersion="2" ma:contentTypeDescription="Create a new document." ma:contentTypeScope="" ma:versionID="fcea0dabe9944a5e5de82f2dafdafe90">
  <xsd:schema xmlns:xsd="http://www.w3.org/2001/XMLSchema" xmlns:xs="http://www.w3.org/2001/XMLSchema" xmlns:p="http://schemas.microsoft.com/office/2006/metadata/properties" xmlns:ns3="b586de83-9298-4602-8055-a8b4e2fa3160" targetNamespace="http://schemas.microsoft.com/office/2006/metadata/properties" ma:root="true" ma:fieldsID="501b8ea44b9b0d75cefd9fb12312e092" ns3:_="">
    <xsd:import namespace="b586de83-9298-4602-8055-a8b4e2fa316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86de83-9298-4602-8055-a8b4e2fa31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D6DB57E7-2EF1-48E0-BC19-E2B841516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86de83-9298-4602-8055-a8b4e2fa3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4341AA-0987-4D1C-B189-51510AD07F13}">
  <ds:schemaRefs>
    <ds:schemaRef ds:uri="http://schemas.microsoft.com/sharepoint/v3/contenttype/forms"/>
  </ds:schemaRefs>
</ds:datastoreItem>
</file>

<file path=customXml/itemProps3.xml><?xml version="1.0" encoding="utf-8"?>
<ds:datastoreItem xmlns:ds="http://schemas.openxmlformats.org/officeDocument/2006/customXml" ds:itemID="{10D09430-07A9-486B-927E-8F5FFE1DDA1B}">
  <ds:schemaRefs>
    <ds:schemaRef ds:uri="http://purl.org/dc/terms/"/>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b586de83-9298-4602-8055-a8b4e2fa3160"/>
    <ds:schemaRef ds:uri="http://purl.org/dc/dcmitype/"/>
  </ds:schemaRefs>
</ds:datastoreItem>
</file>

<file path=customXml/itemProps4.xml><?xml version="1.0" encoding="utf-8"?>
<ds:datastoreItem xmlns:ds="http://schemas.openxmlformats.org/officeDocument/2006/customXml" ds:itemID="{E98B7485-5B7E-460F-986B-5F571D7C23F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37</vt:i4>
      </vt:variant>
    </vt:vector>
  </HeadingPairs>
  <TitlesOfParts>
    <vt:vector size="42" baseType="lpstr">
      <vt:lpstr>Tool</vt:lpstr>
      <vt:lpstr>Intro</vt:lpstr>
      <vt:lpstr>Check</vt:lpstr>
      <vt:lpstr>Results</vt:lpstr>
      <vt:lpstr>Info</vt:lpstr>
      <vt:lpstr>_01A_Ja_Nein_Weiss_nicht</vt:lpstr>
      <vt:lpstr>_01Abis_Ja_Nein_Teilweise_Weiss_nicht</vt:lpstr>
      <vt:lpstr>_01B_Ja_Nur_in_einem_Bereich_Nein_Weiss_nicht</vt:lpstr>
      <vt:lpstr>_01C_Ja_Noch_keine_Berechnung_Richtwert_überboten_Weiss_nicht</vt:lpstr>
      <vt:lpstr>_01C_Ja_Nur_in_Aussenraum</vt:lpstr>
      <vt:lpstr>_02_A_Schultyp</vt:lpstr>
      <vt:lpstr>_02_Wohnen_Verwaltung_EG_nutzung_Schule_Anderes</vt:lpstr>
      <vt:lpstr>_03_Neubau_Ersatzbau_Erneuerung_Bestand</vt:lpstr>
      <vt:lpstr>_04_ÖV_Güteklasse</vt:lpstr>
      <vt:lpstr>_05_Stadt_Agglo_Land</vt:lpstr>
      <vt:lpstr>_06_Vermietung_Verkau_fEigennutzung_Öffentliche_Hand_anderes</vt:lpstr>
      <vt:lpstr>_07A_Hoch_Mittel_Tief</vt:lpstr>
      <vt:lpstr>_07B_Hoch__Mittel_Tief_Weiss_nicht</vt:lpstr>
      <vt:lpstr>_08A_Distanz_A</vt:lpstr>
      <vt:lpstr>_08B_Distanz_B</vt:lpstr>
      <vt:lpstr>_09_Deutlich_darüber_Leicht_darüber_Etwa_gleich_Leicht_darunter_Deutlich_darunter_Weiss_nicht</vt:lpstr>
      <vt:lpstr>_10_unter_19_über_70</vt:lpstr>
      <vt:lpstr>_11_Ja_30_besser_Minergie</vt:lpstr>
      <vt:lpstr>_12_Ja_Eigenstromproduktion</vt:lpstr>
      <vt:lpstr>_20406080100</vt:lpstr>
      <vt:lpstr>Results!_99_Druckbereich</vt:lpstr>
      <vt:lpstr>_Gewinnen</vt:lpstr>
      <vt:lpstr>_Liste_11Indikatoren</vt:lpstr>
      <vt:lpstr>_Notwendig</vt:lpstr>
      <vt:lpstr>_Regionalökonomie</vt:lpstr>
      <vt:lpstr>_Schulstufe</vt:lpstr>
      <vt:lpstr>ad</vt:lpstr>
      <vt:lpstr>Check!Druckbereich</vt:lpstr>
      <vt:lpstr>Intro!Druckbereich</vt:lpstr>
      <vt:lpstr>Results!Druckbereich</vt:lpstr>
      <vt:lpstr>e</vt:lpstr>
      <vt:lpstr>EinstiegfrageS</vt:lpstr>
      <vt:lpstr>Für_eine_vollständige_Liste_hier_klicken</vt:lpstr>
      <vt:lpstr>JANEIN</vt:lpstr>
      <vt:lpstr>k</vt:lpstr>
      <vt:lpstr>logoes</vt:lpstr>
      <vt:lpstr>LogoESDe_Pre</vt:lpstr>
    </vt:vector>
  </TitlesOfParts>
  <Company>IT Services Hochschule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 Théophile HSLU T&amp;A</dc:creator>
  <cp:lastModifiedBy>Stephanie Wigger</cp:lastModifiedBy>
  <cp:lastPrinted>2024-12-13T14:15:56Z</cp:lastPrinted>
  <dcterms:created xsi:type="dcterms:W3CDTF">2018-11-28T13:28:51Z</dcterms:created>
  <dcterms:modified xsi:type="dcterms:W3CDTF">2024-12-16T07:53:00Z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0x01010036939757D971E44AB2321F9C564233AB</vt:lpwstr>
  </property>
  <property fmtid="{D5CDD505-2E9C-101B-9397-08002B2CF9AE}" pid="3" name="MSIP_Label_e8b0afbd-3cf7-4707-aee4-8dc9d855de29_Enabled">
    <vt:lpwstr>true</vt:lpwstr>
  </property>
  <property fmtid="{D5CDD505-2E9C-101B-9397-08002B2CF9AE}" pid="4" name="MSIP_Label_e8b0afbd-3cf7-4707-aee4-8dc9d855de29_SetDate">
    <vt:lpwstr>2022-10-17T05:28:30Z</vt:lpwstr>
  </property>
  <property fmtid="{D5CDD505-2E9C-101B-9397-08002B2CF9AE}" pid="5" name="MSIP_Label_e8b0afbd-3cf7-4707-aee4-8dc9d855de29_Method">
    <vt:lpwstr>Standard</vt:lpwstr>
  </property>
  <property fmtid="{D5CDD505-2E9C-101B-9397-08002B2CF9AE}" pid="6" name="MSIP_Label_e8b0afbd-3cf7-4707-aee4-8dc9d855de29_Name">
    <vt:lpwstr>intern</vt:lpwstr>
  </property>
  <property fmtid="{D5CDD505-2E9C-101B-9397-08002B2CF9AE}" pid="7" name="MSIP_Label_e8b0afbd-3cf7-4707-aee4-8dc9d855de29_SiteId">
    <vt:lpwstr>75a34008-d7d1-4924-8e78-31fea86f6e68</vt:lpwstr>
  </property>
  <property fmtid="{D5CDD505-2E9C-101B-9397-08002B2CF9AE}" pid="8" name="MSIP_Label_e8b0afbd-3cf7-4707-aee4-8dc9d855de29_ActionId">
    <vt:lpwstr>cb433658-8892-445d-a912-dca351eea008</vt:lpwstr>
  </property>
  <property fmtid="{D5CDD505-2E9C-101B-9397-08002B2CF9AE}" pid="9" name="MSIP_Label_e8b0afbd-3cf7-4707-aee4-8dc9d855de29_ContentBits">
    <vt:lpwstr>0</vt:lpwstr>
  </property>
</Properties>
</file>